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updateLinks="never"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D:\DOK_PKN\9 kalkulatory\"/>
    </mc:Choice>
  </mc:AlternateContent>
  <xr:revisionPtr revIDLastSave="0" documentId="13_ncr:1_{88CAA7CE-85EB-4A08-8DD1-73CE5F7E4615}" xr6:coauthVersionLast="47" xr6:coauthVersionMax="47" xr10:uidLastSave="{00000000-0000-0000-0000-000000000000}"/>
  <workbookProtection workbookAlgorithmName="SHA-512" workbookHashValue="4e+8utNF/vmzXDjjFP9ADivg1AILULUzymI+0CG4HhzaNN12rz7c+HygS9RXp+X4UMmDmC6I7HfPXWUiPHNHiw==" workbookSaltValue="S/oRwRHe3VeJLqE97jGd/g==" workbookSpinCount="100000" lockStructure="1"/>
  <bookViews>
    <workbookView xWindow="-120" yWindow="-120" windowWidth="29040" windowHeight="15840" xr2:uid="{00000000-000D-0000-FFFF-FFFF00000000}"/>
  </bookViews>
  <sheets>
    <sheet name="SYSTEMY" sheetId="5" r:id="rId1"/>
    <sheet name="1" sheetId="1" r:id="rId2"/>
    <sheet name="2A" sheetId="6" r:id="rId3"/>
    <sheet name="2B" sheetId="12" r:id="rId4"/>
    <sheet name="2C" sheetId="11" r:id="rId5"/>
    <sheet name="3" sheetId="2" r:id="rId6"/>
    <sheet name="4" sheetId="3" r:id="rId7"/>
    <sheet name="5" sheetId="4" r:id="rId8"/>
    <sheet name="6" sheetId="10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9" i="12" l="1"/>
  <c r="I15" i="12"/>
  <c r="J19" i="6"/>
  <c r="I19" i="6"/>
  <c r="J15" i="6"/>
  <c r="I15" i="6"/>
  <c r="J65" i="4"/>
  <c r="J66" i="4"/>
  <c r="J67" i="4"/>
  <c r="J68" i="4"/>
  <c r="J69" i="4"/>
  <c r="J70" i="4"/>
  <c r="J71" i="4"/>
  <c r="J72" i="4"/>
  <c r="J64" i="4"/>
  <c r="M121" i="4"/>
  <c r="M120" i="4"/>
  <c r="L97" i="3"/>
  <c r="I62" i="3"/>
  <c r="I63" i="3"/>
  <c r="I64" i="3"/>
  <c r="I65" i="3"/>
  <c r="I61" i="3"/>
  <c r="K60" i="3"/>
  <c r="J40" i="3"/>
  <c r="J131" i="2"/>
  <c r="J132" i="2"/>
  <c r="J133" i="2"/>
  <c r="J134" i="2"/>
  <c r="J135" i="2"/>
  <c r="J136" i="2"/>
  <c r="J130" i="2"/>
  <c r="K76" i="2"/>
  <c r="K75" i="2"/>
  <c r="K61" i="2"/>
  <c r="K62" i="2"/>
  <c r="K63" i="2"/>
  <c r="K64" i="2"/>
  <c r="K65" i="2"/>
  <c r="K60" i="2"/>
  <c r="G58" i="1"/>
  <c r="H58" i="1" s="1"/>
  <c r="I58" i="1" s="1"/>
  <c r="J269" i="10"/>
  <c r="J268" i="10"/>
  <c r="J267" i="10"/>
  <c r="J266" i="10"/>
  <c r="J265" i="10"/>
  <c r="J264" i="10"/>
  <c r="J263" i="10"/>
  <c r="J262" i="10"/>
  <c r="J261" i="10"/>
  <c r="J260" i="10"/>
  <c r="J259" i="10"/>
  <c r="J257" i="10"/>
  <c r="J256" i="10"/>
  <c r="J255" i="10"/>
  <c r="J254" i="10"/>
  <c r="J253" i="10"/>
  <c r="J252" i="10"/>
  <c r="J251" i="10"/>
  <c r="J250" i="10"/>
  <c r="J249" i="10"/>
  <c r="J248" i="10"/>
  <c r="J247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G130" i="10"/>
  <c r="G129" i="10"/>
  <c r="G128" i="10"/>
  <c r="G127" i="10"/>
  <c r="G126" i="10"/>
  <c r="G125" i="10"/>
  <c r="G124" i="10"/>
  <c r="G123" i="10"/>
  <c r="N60" i="3"/>
  <c r="G60" i="3"/>
  <c r="J82" i="4" l="1"/>
  <c r="J83" i="4"/>
  <c r="J84" i="4"/>
  <c r="J85" i="4"/>
  <c r="J86" i="4"/>
  <c r="J87" i="4"/>
  <c r="J88" i="4"/>
  <c r="J89" i="4"/>
  <c r="J81" i="4"/>
  <c r="J37" i="4"/>
  <c r="J38" i="4"/>
  <c r="J39" i="4"/>
  <c r="J40" i="4"/>
  <c r="J41" i="4"/>
  <c r="J42" i="4"/>
  <c r="J43" i="4"/>
  <c r="J44" i="4"/>
  <c r="J36" i="4"/>
  <c r="I44" i="4"/>
  <c r="I43" i="4"/>
  <c r="I42" i="4"/>
  <c r="I41" i="4"/>
  <c r="I40" i="4"/>
  <c r="K39" i="4"/>
  <c r="I39" i="4"/>
  <c r="G39" i="4"/>
  <c r="H39" i="4" s="1"/>
  <c r="K40" i="4"/>
  <c r="G40" i="4"/>
  <c r="K41" i="4"/>
  <c r="G41" i="4"/>
  <c r="K42" i="4"/>
  <c r="G42" i="4"/>
  <c r="K43" i="4"/>
  <c r="G43" i="4"/>
  <c r="E96" i="3"/>
  <c r="H154" i="2"/>
  <c r="J154" i="2" s="1"/>
  <c r="F75" i="1"/>
  <c r="F76" i="1"/>
  <c r="F77" i="1"/>
  <c r="F78" i="1"/>
  <c r="F79" i="1"/>
  <c r="F80" i="1"/>
  <c r="F81" i="1"/>
  <c r="F82" i="1"/>
  <c r="F83" i="1"/>
  <c r="F84" i="1"/>
  <c r="F85" i="1"/>
  <c r="F74" i="1"/>
  <c r="G169" i="6"/>
  <c r="G166" i="6"/>
  <c r="L39" i="4" l="1"/>
  <c r="M39" i="4" s="1"/>
  <c r="N39" i="4" s="1"/>
  <c r="L40" i="4"/>
  <c r="M40" i="4" s="1"/>
  <c r="N40" i="4" s="1"/>
  <c r="L41" i="4"/>
  <c r="M41" i="4" s="1"/>
  <c r="N41" i="4" s="1"/>
  <c r="L43" i="4"/>
  <c r="M43" i="4" s="1"/>
  <c r="N43" i="4" s="1"/>
  <c r="L42" i="4"/>
  <c r="M42" i="4" s="1"/>
  <c r="N42" i="4" s="1"/>
  <c r="G167" i="6"/>
  <c r="H167" i="6" s="1"/>
  <c r="J167" i="6" s="1"/>
  <c r="L167" i="6" s="1"/>
  <c r="G168" i="6"/>
  <c r="H168" i="6" s="1"/>
  <c r="J168" i="6" s="1"/>
  <c r="K166" i="6"/>
  <c r="H166" i="6"/>
  <c r="J166" i="6" s="1"/>
  <c r="L166" i="6" s="1"/>
  <c r="K167" i="6"/>
  <c r="K168" i="6"/>
  <c r="L168" i="6" l="1"/>
  <c r="I35" i="4" l="1"/>
  <c r="G76" i="1" l="1"/>
  <c r="G77" i="1"/>
  <c r="G78" i="1"/>
  <c r="G79" i="1"/>
  <c r="G80" i="1"/>
  <c r="G81" i="1"/>
  <c r="G82" i="1"/>
  <c r="G83" i="1"/>
  <c r="G84" i="1"/>
  <c r="G85" i="1"/>
  <c r="G75" i="1"/>
  <c r="G56" i="1"/>
  <c r="G57" i="1"/>
  <c r="G59" i="1"/>
  <c r="G60" i="1"/>
  <c r="G61" i="1"/>
  <c r="G62" i="1"/>
  <c r="G63" i="1"/>
  <c r="G64" i="1"/>
  <c r="G65" i="1"/>
  <c r="G66" i="1"/>
  <c r="G55" i="1"/>
  <c r="L155" i="2"/>
  <c r="K37" i="4"/>
  <c r="K38" i="4"/>
  <c r="K44" i="4"/>
  <c r="K36" i="4"/>
  <c r="G37" i="4"/>
  <c r="G38" i="4"/>
  <c r="G44" i="4"/>
  <c r="G36" i="4"/>
  <c r="F59" i="2" l="1"/>
  <c r="I59" i="2" s="1"/>
  <c r="I38" i="4"/>
  <c r="I37" i="4"/>
  <c r="I36" i="4"/>
  <c r="N47" i="4" l="1"/>
  <c r="L13" i="4" s="1"/>
  <c r="N46" i="4"/>
  <c r="L12" i="4" s="1"/>
  <c r="L44" i="4"/>
  <c r="L38" i="4"/>
  <c r="H38" i="4"/>
  <c r="L37" i="4"/>
  <c r="H37" i="4"/>
  <c r="L36" i="4"/>
  <c r="H36" i="4"/>
  <c r="L35" i="4"/>
  <c r="H35" i="4"/>
  <c r="M35" i="4" l="1"/>
  <c r="N35" i="4" s="1"/>
  <c r="M38" i="4"/>
  <c r="N38" i="4" s="1"/>
  <c r="M44" i="4"/>
  <c r="N44" i="4" s="1"/>
  <c r="M36" i="4"/>
  <c r="N36" i="4" s="1"/>
  <c r="M37" i="4"/>
  <c r="N37" i="4" s="1"/>
  <c r="G34" i="12"/>
  <c r="H34" i="12" s="1"/>
  <c r="J34" i="12" s="1"/>
  <c r="F35" i="12"/>
  <c r="G35" i="12" s="1"/>
  <c r="H35" i="12" s="1"/>
  <c r="F34" i="12"/>
  <c r="F26" i="12"/>
  <c r="G26" i="12" s="1"/>
  <c r="H26" i="12" s="1"/>
  <c r="F27" i="12"/>
  <c r="G27" i="12" s="1"/>
  <c r="H27" i="12" s="1"/>
  <c r="F28" i="12"/>
  <c r="F29" i="12"/>
  <c r="G29" i="12" s="1"/>
  <c r="H29" i="12" s="1"/>
  <c r="J29" i="12" s="1"/>
  <c r="F30" i="12"/>
  <c r="G30" i="12" s="1"/>
  <c r="H30" i="12" s="1"/>
  <c r="J30" i="12" s="1"/>
  <c r="F31" i="12"/>
  <c r="G31" i="12" s="1"/>
  <c r="H31" i="12" s="1"/>
  <c r="F32" i="12"/>
  <c r="G32" i="12" s="1"/>
  <c r="H32" i="12" s="1"/>
  <c r="F33" i="12"/>
  <c r="G33" i="12" s="1"/>
  <c r="H33" i="12" s="1"/>
  <c r="F25" i="12"/>
  <c r="G25" i="12" s="1"/>
  <c r="H25" i="12" s="1"/>
  <c r="G42" i="12"/>
  <c r="H42" i="12" s="1"/>
  <c r="I42" i="12" s="1"/>
  <c r="G43" i="12"/>
  <c r="E19" i="12"/>
  <c r="E15" i="12"/>
  <c r="L113" i="12"/>
  <c r="G113" i="12"/>
  <c r="H113" i="12" s="1"/>
  <c r="I113" i="12" s="1"/>
  <c r="L112" i="12"/>
  <c r="G112" i="12"/>
  <c r="H112" i="12" s="1"/>
  <c r="I112" i="12" s="1"/>
  <c r="L111" i="12"/>
  <c r="G111" i="12"/>
  <c r="L110" i="12"/>
  <c r="G110" i="12"/>
  <c r="H110" i="12" s="1"/>
  <c r="I110" i="12" s="1"/>
  <c r="L109" i="12"/>
  <c r="G109" i="12"/>
  <c r="H109" i="12" s="1"/>
  <c r="I109" i="12" s="1"/>
  <c r="L108" i="12"/>
  <c r="G108" i="12"/>
  <c r="H108" i="12" s="1"/>
  <c r="I108" i="12" s="1"/>
  <c r="L107" i="12"/>
  <c r="G107" i="12"/>
  <c r="L106" i="12"/>
  <c r="G106" i="12"/>
  <c r="H106" i="12" s="1"/>
  <c r="I106" i="12" s="1"/>
  <c r="L105" i="12"/>
  <c r="G105" i="12"/>
  <c r="H105" i="12" s="1"/>
  <c r="I105" i="12" s="1"/>
  <c r="L104" i="12"/>
  <c r="G104" i="12"/>
  <c r="H104" i="12" s="1"/>
  <c r="I104" i="12" s="1"/>
  <c r="L103" i="12"/>
  <c r="G103" i="12"/>
  <c r="H103" i="12" s="1"/>
  <c r="I103" i="12" s="1"/>
  <c r="L102" i="12"/>
  <c r="G102" i="12"/>
  <c r="H102" i="12" s="1"/>
  <c r="I102" i="12" s="1"/>
  <c r="L101" i="12"/>
  <c r="G101" i="12"/>
  <c r="H101" i="12" s="1"/>
  <c r="I101" i="12" s="1"/>
  <c r="L100" i="12"/>
  <c r="G100" i="12"/>
  <c r="H100" i="12" s="1"/>
  <c r="I100" i="12" s="1"/>
  <c r="L99" i="12"/>
  <c r="G99" i="12"/>
  <c r="H99" i="12" s="1"/>
  <c r="I99" i="12" s="1"/>
  <c r="L98" i="12"/>
  <c r="G98" i="12"/>
  <c r="H98" i="12" s="1"/>
  <c r="I98" i="12" s="1"/>
  <c r="L97" i="12"/>
  <c r="G97" i="12"/>
  <c r="H97" i="12" s="1"/>
  <c r="I97" i="12" s="1"/>
  <c r="L96" i="12"/>
  <c r="G96" i="12"/>
  <c r="H96" i="12" s="1"/>
  <c r="I96" i="12" s="1"/>
  <c r="L95" i="12"/>
  <c r="G95" i="12"/>
  <c r="L94" i="12"/>
  <c r="G94" i="12"/>
  <c r="H94" i="12" s="1"/>
  <c r="I94" i="12" s="1"/>
  <c r="L93" i="12"/>
  <c r="G93" i="12"/>
  <c r="H93" i="12" s="1"/>
  <c r="I93" i="12" s="1"/>
  <c r="L92" i="12"/>
  <c r="G92" i="12"/>
  <c r="H92" i="12" s="1"/>
  <c r="I92" i="12" s="1"/>
  <c r="L91" i="12"/>
  <c r="G91" i="12"/>
  <c r="L90" i="12"/>
  <c r="G90" i="12"/>
  <c r="L89" i="12"/>
  <c r="G89" i="12"/>
  <c r="H89" i="12" s="1"/>
  <c r="I89" i="12" s="1"/>
  <c r="L88" i="12"/>
  <c r="G88" i="12"/>
  <c r="H88" i="12" s="1"/>
  <c r="I88" i="12" s="1"/>
  <c r="L87" i="12"/>
  <c r="G87" i="12"/>
  <c r="L86" i="12"/>
  <c r="G86" i="12"/>
  <c r="L85" i="12"/>
  <c r="G85" i="12"/>
  <c r="H85" i="12" s="1"/>
  <c r="I85" i="12" s="1"/>
  <c r="L84" i="12"/>
  <c r="G84" i="12"/>
  <c r="H84" i="12" s="1"/>
  <c r="I84" i="12" s="1"/>
  <c r="L83" i="12"/>
  <c r="G83" i="12"/>
  <c r="L82" i="12"/>
  <c r="G82" i="12"/>
  <c r="H82" i="12" s="1"/>
  <c r="I82" i="12" s="1"/>
  <c r="L81" i="12"/>
  <c r="G81" i="12"/>
  <c r="H81" i="12" s="1"/>
  <c r="I81" i="12" s="1"/>
  <c r="L80" i="12"/>
  <c r="G80" i="12"/>
  <c r="H80" i="12" s="1"/>
  <c r="I80" i="12" s="1"/>
  <c r="L79" i="12"/>
  <c r="G79" i="12"/>
  <c r="L78" i="12"/>
  <c r="G78" i="12"/>
  <c r="H78" i="12" s="1"/>
  <c r="I78" i="12" s="1"/>
  <c r="L77" i="12"/>
  <c r="G77" i="12"/>
  <c r="H77" i="12" s="1"/>
  <c r="I77" i="12" s="1"/>
  <c r="L76" i="12"/>
  <c r="G76" i="12"/>
  <c r="H76" i="12" s="1"/>
  <c r="I76" i="12" s="1"/>
  <c r="L75" i="12"/>
  <c r="G75" i="12"/>
  <c r="L74" i="12"/>
  <c r="G74" i="12"/>
  <c r="L73" i="12"/>
  <c r="G73" i="12"/>
  <c r="H73" i="12" s="1"/>
  <c r="I73" i="12" s="1"/>
  <c r="L72" i="12"/>
  <c r="G72" i="12"/>
  <c r="H72" i="12" s="1"/>
  <c r="I72" i="12" s="1"/>
  <c r="L71" i="12"/>
  <c r="G71" i="12"/>
  <c r="H71" i="12" s="1"/>
  <c r="I71" i="12" s="1"/>
  <c r="L70" i="12"/>
  <c r="G70" i="12"/>
  <c r="H70" i="12" s="1"/>
  <c r="I70" i="12" s="1"/>
  <c r="L69" i="12"/>
  <c r="G69" i="12"/>
  <c r="H69" i="12" s="1"/>
  <c r="I69" i="12" s="1"/>
  <c r="L68" i="12"/>
  <c r="G68" i="12"/>
  <c r="H68" i="12" s="1"/>
  <c r="I68" i="12" s="1"/>
  <c r="L67" i="12"/>
  <c r="G67" i="12"/>
  <c r="H67" i="12" s="1"/>
  <c r="I67" i="12" s="1"/>
  <c r="L66" i="12"/>
  <c r="G66" i="12"/>
  <c r="L65" i="12"/>
  <c r="G65" i="12"/>
  <c r="H65" i="12" s="1"/>
  <c r="I65" i="12" s="1"/>
  <c r="L64" i="12"/>
  <c r="G64" i="12"/>
  <c r="H64" i="12" s="1"/>
  <c r="I64" i="12" s="1"/>
  <c r="L63" i="12"/>
  <c r="G63" i="12"/>
  <c r="L62" i="12"/>
  <c r="G62" i="12"/>
  <c r="H62" i="12" s="1"/>
  <c r="I62" i="12" s="1"/>
  <c r="L61" i="12"/>
  <c r="G61" i="12"/>
  <c r="H61" i="12" s="1"/>
  <c r="I61" i="12" s="1"/>
  <c r="L60" i="12"/>
  <c r="G60" i="12"/>
  <c r="H60" i="12" s="1"/>
  <c r="I60" i="12" s="1"/>
  <c r="L59" i="12"/>
  <c r="G59" i="12"/>
  <c r="L58" i="12"/>
  <c r="G58" i="12"/>
  <c r="H58" i="12" s="1"/>
  <c r="I58" i="12" s="1"/>
  <c r="L57" i="12"/>
  <c r="G57" i="12"/>
  <c r="H57" i="12" s="1"/>
  <c r="I57" i="12" s="1"/>
  <c r="L56" i="12"/>
  <c r="G56" i="12"/>
  <c r="H56" i="12" s="1"/>
  <c r="I56" i="12" s="1"/>
  <c r="L55" i="12"/>
  <c r="G55" i="12"/>
  <c r="L54" i="12"/>
  <c r="G54" i="12"/>
  <c r="L53" i="12"/>
  <c r="G53" i="12"/>
  <c r="H53" i="12" s="1"/>
  <c r="I53" i="12" s="1"/>
  <c r="K53" i="12" s="1"/>
  <c r="L52" i="12"/>
  <c r="G52" i="12"/>
  <c r="H52" i="12" s="1"/>
  <c r="I52" i="12" s="1"/>
  <c r="L51" i="12"/>
  <c r="G51" i="12"/>
  <c r="H51" i="12" s="1"/>
  <c r="I51" i="12" s="1"/>
  <c r="L50" i="12"/>
  <c r="G50" i="12"/>
  <c r="H50" i="12" s="1"/>
  <c r="I50" i="12" s="1"/>
  <c r="L49" i="12"/>
  <c r="G49" i="12"/>
  <c r="H49" i="12" s="1"/>
  <c r="I49" i="12" s="1"/>
  <c r="L48" i="12"/>
  <c r="G48" i="12"/>
  <c r="H48" i="12" s="1"/>
  <c r="I48" i="12" s="1"/>
  <c r="L47" i="12"/>
  <c r="G47" i="12"/>
  <c r="H47" i="12" s="1"/>
  <c r="I47" i="12" s="1"/>
  <c r="L46" i="12"/>
  <c r="G46" i="12"/>
  <c r="L45" i="12"/>
  <c r="G45" i="12"/>
  <c r="H45" i="12" s="1"/>
  <c r="I45" i="12" s="1"/>
  <c r="L44" i="12"/>
  <c r="G44" i="12"/>
  <c r="H44" i="12" s="1"/>
  <c r="I44" i="12" s="1"/>
  <c r="L43" i="12"/>
  <c r="K35" i="12"/>
  <c r="K34" i="12"/>
  <c r="K33" i="12"/>
  <c r="K32" i="12"/>
  <c r="K31" i="12"/>
  <c r="K30" i="12"/>
  <c r="K29" i="12"/>
  <c r="K28" i="12"/>
  <c r="K27" i="12"/>
  <c r="K26" i="12"/>
  <c r="K75" i="12" l="1"/>
  <c r="M75" i="12" s="1"/>
  <c r="K99" i="12"/>
  <c r="K103" i="12"/>
  <c r="K43" i="12"/>
  <c r="J28" i="12"/>
  <c r="L28" i="12" s="1"/>
  <c r="M28" i="12" s="1"/>
  <c r="H107" i="12"/>
  <c r="I107" i="12" s="1"/>
  <c r="K107" i="12" s="1"/>
  <c r="M107" i="12" s="1"/>
  <c r="H75" i="12"/>
  <c r="I75" i="12" s="1"/>
  <c r="H66" i="12"/>
  <c r="I66" i="12" s="1"/>
  <c r="K66" i="12" s="1"/>
  <c r="M66" i="12" s="1"/>
  <c r="H43" i="12"/>
  <c r="I43" i="12" s="1"/>
  <c r="K62" i="12"/>
  <c r="M62" i="12" s="1"/>
  <c r="K67" i="12"/>
  <c r="M67" i="12" s="1"/>
  <c r="K71" i="12"/>
  <c r="M71" i="12" s="1"/>
  <c r="J27" i="12"/>
  <c r="H111" i="12"/>
  <c r="I111" i="12" s="1"/>
  <c r="K111" i="12" s="1"/>
  <c r="M111" i="12" s="1"/>
  <c r="H79" i="12"/>
  <c r="I79" i="12" s="1"/>
  <c r="K79" i="12" s="1"/>
  <c r="M79" i="12" s="1"/>
  <c r="J26" i="12"/>
  <c r="L26" i="12" s="1"/>
  <c r="M26" i="12" s="1"/>
  <c r="H83" i="12"/>
  <c r="I83" i="12" s="1"/>
  <c r="K83" i="12" s="1"/>
  <c r="M83" i="12" s="1"/>
  <c r="H74" i="12"/>
  <c r="I74" i="12" s="1"/>
  <c r="K74" i="12" s="1"/>
  <c r="M74" i="12" s="1"/>
  <c r="K94" i="12"/>
  <c r="J33" i="12"/>
  <c r="L33" i="12" s="1"/>
  <c r="M33" i="12" s="1"/>
  <c r="H87" i="12"/>
  <c r="I87" i="12" s="1"/>
  <c r="K87" i="12" s="1"/>
  <c r="M87" i="12" s="1"/>
  <c r="H55" i="12"/>
  <c r="I55" i="12" s="1"/>
  <c r="K55" i="12" s="1"/>
  <c r="M55" i="12" s="1"/>
  <c r="H46" i="12"/>
  <c r="I46" i="12" s="1"/>
  <c r="K46" i="12" s="1"/>
  <c r="M46" i="12" s="1"/>
  <c r="K58" i="12"/>
  <c r="M58" i="12" s="1"/>
  <c r="K78" i="12"/>
  <c r="M78" i="12" s="1"/>
  <c r="J32" i="12"/>
  <c r="L32" i="12" s="1"/>
  <c r="M32" i="12" s="1"/>
  <c r="H91" i="12"/>
  <c r="I91" i="12" s="1"/>
  <c r="K91" i="12" s="1"/>
  <c r="M91" i="12" s="1"/>
  <c r="H59" i="12"/>
  <c r="I59" i="12" s="1"/>
  <c r="K59" i="12" s="1"/>
  <c r="M59" i="12" s="1"/>
  <c r="K50" i="12"/>
  <c r="K70" i="12"/>
  <c r="M70" i="12" s="1"/>
  <c r="K82" i="12"/>
  <c r="M82" i="12" s="1"/>
  <c r="H90" i="12"/>
  <c r="I90" i="12" s="1"/>
  <c r="K90" i="12" s="1"/>
  <c r="M90" i="12" s="1"/>
  <c r="G28" i="12"/>
  <c r="H28" i="12" s="1"/>
  <c r="H95" i="12"/>
  <c r="I95" i="12" s="1"/>
  <c r="K95" i="12" s="1"/>
  <c r="M95" i="12" s="1"/>
  <c r="H86" i="12"/>
  <c r="I86" i="12" s="1"/>
  <c r="K86" i="12" s="1"/>
  <c r="M86" i="12" s="1"/>
  <c r="H63" i="12"/>
  <c r="I63" i="12" s="1"/>
  <c r="K63" i="12" s="1"/>
  <c r="M63" i="12" s="1"/>
  <c r="H54" i="12"/>
  <c r="I54" i="12" s="1"/>
  <c r="K54" i="12" s="1"/>
  <c r="M54" i="12" s="1"/>
  <c r="N45" i="4"/>
  <c r="M12" i="4" s="1"/>
  <c r="K48" i="12"/>
  <c r="M48" i="12" s="1"/>
  <c r="K60" i="12"/>
  <c r="M60" i="12" s="1"/>
  <c r="K72" i="12"/>
  <c r="M72" i="12" s="1"/>
  <c r="K80" i="12"/>
  <c r="M80" i="12" s="1"/>
  <c r="K88" i="12"/>
  <c r="K96" i="12"/>
  <c r="K104" i="12"/>
  <c r="M104" i="12" s="1"/>
  <c r="K112" i="12"/>
  <c r="M112" i="12" s="1"/>
  <c r="K45" i="12"/>
  <c r="M45" i="12" s="1"/>
  <c r="K49" i="12"/>
  <c r="M49" i="12" s="1"/>
  <c r="K57" i="12"/>
  <c r="M57" i="12" s="1"/>
  <c r="K61" i="12"/>
  <c r="M61" i="12" s="1"/>
  <c r="K65" i="12"/>
  <c r="K69" i="12"/>
  <c r="M69" i="12" s="1"/>
  <c r="K73" i="12"/>
  <c r="M73" i="12" s="1"/>
  <c r="K77" i="12"/>
  <c r="M77" i="12" s="1"/>
  <c r="K81" i="12"/>
  <c r="M81" i="12" s="1"/>
  <c r="K85" i="12"/>
  <c r="M85" i="12" s="1"/>
  <c r="K89" i="12"/>
  <c r="M89" i="12" s="1"/>
  <c r="K93" i="12"/>
  <c r="M93" i="12" s="1"/>
  <c r="K97" i="12"/>
  <c r="K101" i="12"/>
  <c r="M101" i="12" s="1"/>
  <c r="K105" i="12"/>
  <c r="M105" i="12" s="1"/>
  <c r="K109" i="12"/>
  <c r="M109" i="12" s="1"/>
  <c r="K113" i="12"/>
  <c r="M113" i="12" s="1"/>
  <c r="K56" i="12"/>
  <c r="M56" i="12" s="1"/>
  <c r="K100" i="12"/>
  <c r="M100" i="12" s="1"/>
  <c r="K44" i="12"/>
  <c r="M44" i="12" s="1"/>
  <c r="K64" i="12"/>
  <c r="M64" i="12" s="1"/>
  <c r="K76" i="12"/>
  <c r="M76" i="12" s="1"/>
  <c r="K84" i="12"/>
  <c r="M84" i="12" s="1"/>
  <c r="K92" i="12"/>
  <c r="M92" i="12" s="1"/>
  <c r="K108" i="12"/>
  <c r="M108" i="12" s="1"/>
  <c r="K98" i="12"/>
  <c r="M98" i="12" s="1"/>
  <c r="K102" i="12"/>
  <c r="M102" i="12" s="1"/>
  <c r="K106" i="12"/>
  <c r="M106" i="12" s="1"/>
  <c r="K110" i="12"/>
  <c r="M110" i="12" s="1"/>
  <c r="K47" i="12"/>
  <c r="M47" i="12" s="1"/>
  <c r="K51" i="12"/>
  <c r="M51" i="12" s="1"/>
  <c r="K52" i="12"/>
  <c r="M52" i="12" s="1"/>
  <c r="K68" i="12"/>
  <c r="M68" i="12" s="1"/>
  <c r="K42" i="12"/>
  <c r="M42" i="12" s="1"/>
  <c r="J35" i="12"/>
  <c r="L35" i="12" s="1"/>
  <c r="M35" i="12" s="1"/>
  <c r="J31" i="12"/>
  <c r="L31" i="12" s="1"/>
  <c r="M31" i="12" s="1"/>
  <c r="F19" i="12"/>
  <c r="F15" i="12"/>
  <c r="M53" i="12"/>
  <c r="M65" i="12"/>
  <c r="M99" i="12"/>
  <c r="M50" i="12"/>
  <c r="L29" i="12"/>
  <c r="M29" i="12" s="1"/>
  <c r="M88" i="12"/>
  <c r="M103" i="12"/>
  <c r="M96" i="12"/>
  <c r="M43" i="12"/>
  <c r="M97" i="12"/>
  <c r="M94" i="12"/>
  <c r="L34" i="12"/>
  <c r="M34" i="12" s="1"/>
  <c r="L27" i="12"/>
  <c r="M27" i="12" s="1"/>
  <c r="L30" i="12"/>
  <c r="M30" i="12" s="1"/>
  <c r="J25" i="12"/>
  <c r="L25" i="12" s="1"/>
  <c r="M25" i="12" s="1"/>
  <c r="E15" i="11" l="1"/>
  <c r="G206" i="11" l="1"/>
  <c r="H206" i="11" s="1"/>
  <c r="G205" i="11"/>
  <c r="H205" i="11" s="1"/>
  <c r="G204" i="11"/>
  <c r="G203" i="11"/>
  <c r="H203" i="11" s="1"/>
  <c r="G200" i="11"/>
  <c r="H200" i="11" s="1"/>
  <c r="G201" i="11"/>
  <c r="H201" i="11" s="1"/>
  <c r="G202" i="11"/>
  <c r="H202" i="11" s="1"/>
  <c r="G199" i="11"/>
  <c r="H199" i="11" s="1"/>
  <c r="G198" i="11"/>
  <c r="H198" i="11" s="1"/>
  <c r="G197" i="11"/>
  <c r="G196" i="11"/>
  <c r="H196" i="11" s="1"/>
  <c r="G195" i="11"/>
  <c r="G194" i="11"/>
  <c r="G191" i="11"/>
  <c r="H191" i="11" s="1"/>
  <c r="G192" i="11"/>
  <c r="H192" i="11" s="1"/>
  <c r="G193" i="11"/>
  <c r="H193" i="11" s="1"/>
  <c r="G190" i="11"/>
  <c r="H190" i="11" s="1"/>
  <c r="G189" i="11"/>
  <c r="H189" i="11" s="1"/>
  <c r="G188" i="11"/>
  <c r="H188" i="11" s="1"/>
  <c r="G187" i="11"/>
  <c r="G186" i="11"/>
  <c r="H186" i="11" s="1"/>
  <c r="G185" i="11"/>
  <c r="H185" i="11" s="1"/>
  <c r="G182" i="11"/>
  <c r="H182" i="11" s="1"/>
  <c r="G183" i="11"/>
  <c r="H183" i="11" s="1"/>
  <c r="G184" i="11"/>
  <c r="H184" i="11" s="1"/>
  <c r="G181" i="11"/>
  <c r="H181" i="11" s="1"/>
  <c r="G180" i="11"/>
  <c r="H180" i="11"/>
  <c r="G179" i="11"/>
  <c r="H179" i="11" s="1"/>
  <c r="G178" i="11"/>
  <c r="H178" i="11" s="1"/>
  <c r="G177" i="11"/>
  <c r="H177" i="11" s="1"/>
  <c r="G176" i="11"/>
  <c r="H176" i="11" s="1"/>
  <c r="G173" i="11"/>
  <c r="H173" i="11" s="1"/>
  <c r="G174" i="11"/>
  <c r="H174" i="11" s="1"/>
  <c r="G175" i="11"/>
  <c r="H175" i="11" s="1"/>
  <c r="G172" i="11"/>
  <c r="G171" i="11"/>
  <c r="H171" i="11" s="1"/>
  <c r="G170" i="11"/>
  <c r="H170" i="11" s="1"/>
  <c r="G169" i="11"/>
  <c r="H169" i="11" s="1"/>
  <c r="G168" i="11"/>
  <c r="H168" i="11" s="1"/>
  <c r="G167" i="11"/>
  <c r="H167" i="11" s="1"/>
  <c r="G164" i="11"/>
  <c r="H164" i="11" s="1"/>
  <c r="G165" i="11"/>
  <c r="H165" i="11" s="1"/>
  <c r="G166" i="11"/>
  <c r="H166" i="11" s="1"/>
  <c r="G163" i="11"/>
  <c r="H163" i="11" s="1"/>
  <c r="G162" i="11"/>
  <c r="H162" i="11" s="1"/>
  <c r="G161" i="11"/>
  <c r="H161" i="11" s="1"/>
  <c r="G160" i="11"/>
  <c r="H160" i="11" s="1"/>
  <c r="G159" i="11"/>
  <c r="H159" i="11" s="1"/>
  <c r="G158" i="11"/>
  <c r="H158" i="11" s="1"/>
  <c r="G155" i="11"/>
  <c r="H155" i="11" s="1"/>
  <c r="G156" i="11"/>
  <c r="H156" i="11" s="1"/>
  <c r="G157" i="11"/>
  <c r="H157" i="11" s="1"/>
  <c r="G154" i="11"/>
  <c r="H154" i="11" s="1"/>
  <c r="G153" i="11"/>
  <c r="H153" i="11"/>
  <c r="M161" i="11"/>
  <c r="I161" i="11"/>
  <c r="J161" i="11" s="1"/>
  <c r="L161" i="11" s="1"/>
  <c r="M160" i="11"/>
  <c r="I160" i="11"/>
  <c r="J160" i="11" s="1"/>
  <c r="L160" i="11" s="1"/>
  <c r="M159" i="11"/>
  <c r="I159" i="11"/>
  <c r="J159" i="11" s="1"/>
  <c r="L159" i="11" s="1"/>
  <c r="M158" i="11"/>
  <c r="I158" i="11"/>
  <c r="J158" i="11" s="1"/>
  <c r="L158" i="11" s="1"/>
  <c r="M157" i="11"/>
  <c r="I157" i="11"/>
  <c r="J157" i="11" s="1"/>
  <c r="L157" i="11" s="1"/>
  <c r="M156" i="11"/>
  <c r="I156" i="11"/>
  <c r="J156" i="11" s="1"/>
  <c r="L156" i="11" s="1"/>
  <c r="M155" i="11"/>
  <c r="I155" i="11"/>
  <c r="J155" i="11" s="1"/>
  <c r="L155" i="11" s="1"/>
  <c r="M154" i="11"/>
  <c r="I154" i="11"/>
  <c r="J154" i="11" s="1"/>
  <c r="L154" i="11" s="1"/>
  <c r="M153" i="11"/>
  <c r="I153" i="11"/>
  <c r="J153" i="11" s="1"/>
  <c r="L153" i="11" s="1"/>
  <c r="M170" i="11"/>
  <c r="I170" i="11"/>
  <c r="J170" i="11" s="1"/>
  <c r="L170" i="11" s="1"/>
  <c r="M169" i="11"/>
  <c r="I169" i="11"/>
  <c r="J169" i="11" s="1"/>
  <c r="L169" i="11" s="1"/>
  <c r="M168" i="11"/>
  <c r="I168" i="11"/>
  <c r="J168" i="11" s="1"/>
  <c r="L168" i="11" s="1"/>
  <c r="M167" i="11"/>
  <c r="I167" i="11"/>
  <c r="J167" i="11" s="1"/>
  <c r="L167" i="11" s="1"/>
  <c r="M166" i="11"/>
  <c r="I166" i="11"/>
  <c r="J166" i="11" s="1"/>
  <c r="L166" i="11" s="1"/>
  <c r="M165" i="11"/>
  <c r="I165" i="11"/>
  <c r="J165" i="11" s="1"/>
  <c r="L165" i="11" s="1"/>
  <c r="N165" i="11" s="1"/>
  <c r="M164" i="11"/>
  <c r="I164" i="11"/>
  <c r="J164" i="11" s="1"/>
  <c r="L164" i="11" s="1"/>
  <c r="M163" i="11"/>
  <c r="I163" i="11"/>
  <c r="J163" i="11" s="1"/>
  <c r="L163" i="11" s="1"/>
  <c r="M162" i="11"/>
  <c r="I162" i="11"/>
  <c r="J162" i="11" s="1"/>
  <c r="L162" i="11" s="1"/>
  <c r="M179" i="11"/>
  <c r="I179" i="11"/>
  <c r="J179" i="11" s="1"/>
  <c r="L179" i="11" s="1"/>
  <c r="N179" i="11" s="1"/>
  <c r="M178" i="11"/>
  <c r="I178" i="11"/>
  <c r="J178" i="11" s="1"/>
  <c r="L178" i="11" s="1"/>
  <c r="M177" i="11"/>
  <c r="I177" i="11"/>
  <c r="J177" i="11" s="1"/>
  <c r="L177" i="11" s="1"/>
  <c r="M176" i="11"/>
  <c r="I176" i="11"/>
  <c r="J176" i="11" s="1"/>
  <c r="L176" i="11" s="1"/>
  <c r="M175" i="11"/>
  <c r="I175" i="11"/>
  <c r="J175" i="11" s="1"/>
  <c r="L175" i="11" s="1"/>
  <c r="M174" i="11"/>
  <c r="J174" i="11"/>
  <c r="L174" i="11" s="1"/>
  <c r="I174" i="11"/>
  <c r="M173" i="11"/>
  <c r="I173" i="11"/>
  <c r="J173" i="11" s="1"/>
  <c r="L173" i="11" s="1"/>
  <c r="M172" i="11"/>
  <c r="I172" i="11"/>
  <c r="J172" i="11" s="1"/>
  <c r="L172" i="11" s="1"/>
  <c r="H172" i="11"/>
  <c r="M171" i="11"/>
  <c r="J171" i="11"/>
  <c r="L171" i="11" s="1"/>
  <c r="I171" i="11"/>
  <c r="M188" i="11"/>
  <c r="I188" i="11"/>
  <c r="J188" i="11" s="1"/>
  <c r="L188" i="11" s="1"/>
  <c r="M187" i="11"/>
  <c r="I187" i="11"/>
  <c r="J187" i="11" s="1"/>
  <c r="L187" i="11" s="1"/>
  <c r="H187" i="11"/>
  <c r="M186" i="11"/>
  <c r="I186" i="11"/>
  <c r="J186" i="11" s="1"/>
  <c r="L186" i="11" s="1"/>
  <c r="M185" i="11"/>
  <c r="I185" i="11"/>
  <c r="J185" i="11" s="1"/>
  <c r="L185" i="11" s="1"/>
  <c r="M184" i="11"/>
  <c r="I184" i="11"/>
  <c r="J184" i="11" s="1"/>
  <c r="L184" i="11" s="1"/>
  <c r="M183" i="11"/>
  <c r="I183" i="11"/>
  <c r="J183" i="11" s="1"/>
  <c r="L183" i="11" s="1"/>
  <c r="M182" i="11"/>
  <c r="I182" i="11"/>
  <c r="J182" i="11" s="1"/>
  <c r="L182" i="11" s="1"/>
  <c r="M181" i="11"/>
  <c r="I181" i="11"/>
  <c r="J181" i="11" s="1"/>
  <c r="L181" i="11" s="1"/>
  <c r="M180" i="11"/>
  <c r="I180" i="11"/>
  <c r="J180" i="11" s="1"/>
  <c r="L180" i="11" s="1"/>
  <c r="M197" i="11"/>
  <c r="I197" i="11"/>
  <c r="J197" i="11" s="1"/>
  <c r="L197" i="11" s="1"/>
  <c r="H197" i="11"/>
  <c r="M196" i="11"/>
  <c r="I196" i="11"/>
  <c r="J196" i="11" s="1"/>
  <c r="L196" i="11" s="1"/>
  <c r="M195" i="11"/>
  <c r="I195" i="11"/>
  <c r="J195" i="11" s="1"/>
  <c r="L195" i="11" s="1"/>
  <c r="H195" i="11"/>
  <c r="M194" i="11"/>
  <c r="I194" i="11"/>
  <c r="J194" i="11" s="1"/>
  <c r="L194" i="11" s="1"/>
  <c r="H194" i="11"/>
  <c r="M193" i="11"/>
  <c r="I193" i="11"/>
  <c r="J193" i="11" s="1"/>
  <c r="L193" i="11" s="1"/>
  <c r="M192" i="11"/>
  <c r="I192" i="11"/>
  <c r="J192" i="11" s="1"/>
  <c r="L192" i="11" s="1"/>
  <c r="M191" i="11"/>
  <c r="I191" i="11"/>
  <c r="J191" i="11" s="1"/>
  <c r="L191" i="11" s="1"/>
  <c r="M190" i="11"/>
  <c r="I190" i="11"/>
  <c r="J190" i="11" s="1"/>
  <c r="L190" i="11" s="1"/>
  <c r="M189" i="11"/>
  <c r="I189" i="11"/>
  <c r="J189" i="11" s="1"/>
  <c r="L189" i="11" s="1"/>
  <c r="M206" i="11"/>
  <c r="I206" i="11"/>
  <c r="J206" i="11" s="1"/>
  <c r="L206" i="11" s="1"/>
  <c r="M205" i="11"/>
  <c r="I205" i="11"/>
  <c r="J205" i="11" s="1"/>
  <c r="L205" i="11" s="1"/>
  <c r="M204" i="11"/>
  <c r="I204" i="11"/>
  <c r="J204" i="11" s="1"/>
  <c r="L204" i="11" s="1"/>
  <c r="H204" i="11"/>
  <c r="M203" i="11"/>
  <c r="I203" i="11"/>
  <c r="J203" i="11" s="1"/>
  <c r="L203" i="11" s="1"/>
  <c r="M202" i="11"/>
  <c r="I202" i="11"/>
  <c r="J202" i="11" s="1"/>
  <c r="L202" i="11" s="1"/>
  <c r="M201" i="11"/>
  <c r="I201" i="11"/>
  <c r="J201" i="11" s="1"/>
  <c r="L201" i="11" s="1"/>
  <c r="M200" i="11"/>
  <c r="I200" i="11"/>
  <c r="J200" i="11" s="1"/>
  <c r="L200" i="11" s="1"/>
  <c r="M199" i="11"/>
  <c r="I199" i="11"/>
  <c r="J199" i="11" s="1"/>
  <c r="L199" i="11" s="1"/>
  <c r="M198" i="11"/>
  <c r="I198" i="11"/>
  <c r="J198" i="11" s="1"/>
  <c r="L198" i="11" s="1"/>
  <c r="G140" i="11"/>
  <c r="G208" i="11"/>
  <c r="H208" i="11" s="1"/>
  <c r="G209" i="11"/>
  <c r="G210" i="11"/>
  <c r="H210" i="11" s="1"/>
  <c r="G211" i="11"/>
  <c r="H211" i="11" s="1"/>
  <c r="G250" i="6"/>
  <c r="G39" i="11"/>
  <c r="G244" i="6"/>
  <c r="G243" i="6"/>
  <c r="H243" i="6" s="1"/>
  <c r="J243" i="6" s="1"/>
  <c r="G242" i="6"/>
  <c r="H242" i="6" s="1"/>
  <c r="J242" i="6" s="1"/>
  <c r="G241" i="6"/>
  <c r="H241" i="6" s="1"/>
  <c r="J241" i="6" s="1"/>
  <c r="G238" i="6"/>
  <c r="G239" i="6"/>
  <c r="H239" i="6" s="1"/>
  <c r="J239" i="6" s="1"/>
  <c r="G240" i="6"/>
  <c r="H240" i="6" s="1"/>
  <c r="J240" i="6" s="1"/>
  <c r="G237" i="6"/>
  <c r="H237" i="6" s="1"/>
  <c r="J237" i="6" s="1"/>
  <c r="G236" i="6"/>
  <c r="H236" i="6" s="1"/>
  <c r="J236" i="6" s="1"/>
  <c r="G235" i="6"/>
  <c r="H235" i="6" s="1"/>
  <c r="J235" i="6" s="1"/>
  <c r="G234" i="6"/>
  <c r="H234" i="6" s="1"/>
  <c r="J234" i="6" s="1"/>
  <c r="G233" i="6"/>
  <c r="H233" i="6" s="1"/>
  <c r="J233" i="6" s="1"/>
  <c r="G232" i="6"/>
  <c r="H232" i="6" s="1"/>
  <c r="J232" i="6" s="1"/>
  <c r="G229" i="6"/>
  <c r="H229" i="6" s="1"/>
  <c r="J229" i="6" s="1"/>
  <c r="G230" i="6"/>
  <c r="H230" i="6" s="1"/>
  <c r="J230" i="6" s="1"/>
  <c r="G231" i="6"/>
  <c r="H231" i="6" s="1"/>
  <c r="J231" i="6" s="1"/>
  <c r="G228" i="6"/>
  <c r="H228" i="6" s="1"/>
  <c r="J228" i="6" s="1"/>
  <c r="G227" i="6"/>
  <c r="H227" i="6" s="1"/>
  <c r="J227" i="6" s="1"/>
  <c r="G226" i="6"/>
  <c r="H226" i="6" s="1"/>
  <c r="J226" i="6" s="1"/>
  <c r="G225" i="6"/>
  <c r="G224" i="6"/>
  <c r="H224" i="6" s="1"/>
  <c r="J224" i="6" s="1"/>
  <c r="G223" i="6"/>
  <c r="H223" i="6" s="1"/>
  <c r="J223" i="6" s="1"/>
  <c r="G220" i="6"/>
  <c r="H220" i="6" s="1"/>
  <c r="J220" i="6" s="1"/>
  <c r="G221" i="6"/>
  <c r="H221" i="6" s="1"/>
  <c r="J221" i="6" s="1"/>
  <c r="G222" i="6"/>
  <c r="H222" i="6" s="1"/>
  <c r="J222" i="6" s="1"/>
  <c r="G219" i="6"/>
  <c r="H219" i="6" s="1"/>
  <c r="J219" i="6" s="1"/>
  <c r="G218" i="6"/>
  <c r="H218" i="6" s="1"/>
  <c r="J218" i="6" s="1"/>
  <c r="G217" i="6"/>
  <c r="H217" i="6" s="1"/>
  <c r="J217" i="6" s="1"/>
  <c r="G216" i="6"/>
  <c r="H216" i="6" s="1"/>
  <c r="J216" i="6" s="1"/>
  <c r="G215" i="6"/>
  <c r="H215" i="6" s="1"/>
  <c r="J215" i="6" s="1"/>
  <c r="G214" i="6"/>
  <c r="H214" i="6" s="1"/>
  <c r="J214" i="6" s="1"/>
  <c r="G211" i="6"/>
  <c r="H211" i="6" s="1"/>
  <c r="J211" i="6" s="1"/>
  <c r="G212" i="6"/>
  <c r="G213" i="6"/>
  <c r="H213" i="6" s="1"/>
  <c r="J213" i="6" s="1"/>
  <c r="G210" i="6"/>
  <c r="H210" i="6" s="1"/>
  <c r="J210" i="6" s="1"/>
  <c r="G209" i="6"/>
  <c r="H209" i="6" s="1"/>
  <c r="J209" i="6" s="1"/>
  <c r="G208" i="6"/>
  <c r="H208" i="6" s="1"/>
  <c r="J208" i="6" s="1"/>
  <c r="G207" i="6"/>
  <c r="H207" i="6" s="1"/>
  <c r="J207" i="6" s="1"/>
  <c r="G206" i="6"/>
  <c r="H206" i="6" s="1"/>
  <c r="J206" i="6" s="1"/>
  <c r="G205" i="6"/>
  <c r="H205" i="6" s="1"/>
  <c r="J205" i="6" s="1"/>
  <c r="G202" i="6"/>
  <c r="H202" i="6" s="1"/>
  <c r="J202" i="6" s="1"/>
  <c r="G203" i="6"/>
  <c r="H203" i="6" s="1"/>
  <c r="J203" i="6" s="1"/>
  <c r="G204" i="6"/>
  <c r="H204" i="6" s="1"/>
  <c r="J204" i="6" s="1"/>
  <c r="G201" i="6"/>
  <c r="H201" i="6" s="1"/>
  <c r="J201" i="6" s="1"/>
  <c r="G200" i="6"/>
  <c r="H200" i="6" s="1"/>
  <c r="J200" i="6" s="1"/>
  <c r="G199" i="6"/>
  <c r="H199" i="6" s="1"/>
  <c r="J199" i="6" s="1"/>
  <c r="G198" i="6"/>
  <c r="H198" i="6" s="1"/>
  <c r="J198" i="6" s="1"/>
  <c r="G197" i="6"/>
  <c r="H197" i="6" s="1"/>
  <c r="J197" i="6" s="1"/>
  <c r="G196" i="6"/>
  <c r="H196" i="6" s="1"/>
  <c r="J196" i="6" s="1"/>
  <c r="G193" i="6"/>
  <c r="H193" i="6" s="1"/>
  <c r="J193" i="6" s="1"/>
  <c r="G194" i="6"/>
  <c r="H194" i="6" s="1"/>
  <c r="J194" i="6" s="1"/>
  <c r="G195" i="6"/>
  <c r="H195" i="6" s="1"/>
  <c r="J195" i="6" s="1"/>
  <c r="G192" i="6"/>
  <c r="H192" i="6" s="1"/>
  <c r="J192" i="6" s="1"/>
  <c r="G191" i="6"/>
  <c r="H191" i="6" s="1"/>
  <c r="J191" i="6" s="1"/>
  <c r="G190" i="6"/>
  <c r="H190" i="6" s="1"/>
  <c r="J190" i="6" s="1"/>
  <c r="G189" i="6"/>
  <c r="H189" i="6" s="1"/>
  <c r="J189" i="6" s="1"/>
  <c r="G188" i="6"/>
  <c r="G187" i="6"/>
  <c r="H187" i="6" s="1"/>
  <c r="J187" i="6" s="1"/>
  <c r="G184" i="6"/>
  <c r="H184" i="6" s="1"/>
  <c r="J184" i="6" s="1"/>
  <c r="G185" i="6"/>
  <c r="H185" i="6" s="1"/>
  <c r="J185" i="6" s="1"/>
  <c r="G186" i="6"/>
  <c r="H186" i="6" s="1"/>
  <c r="J186" i="6" s="1"/>
  <c r="G183" i="6"/>
  <c r="H183" i="6" s="1"/>
  <c r="J183" i="6" s="1"/>
  <c r="G49" i="6"/>
  <c r="G50" i="6"/>
  <c r="G51" i="6"/>
  <c r="G52" i="6"/>
  <c r="G53" i="6"/>
  <c r="G54" i="6"/>
  <c r="G55" i="6"/>
  <c r="G56" i="6"/>
  <c r="G57" i="6"/>
  <c r="G182" i="6"/>
  <c r="H182" i="6" s="1"/>
  <c r="J182" i="6" s="1"/>
  <c r="G207" i="11"/>
  <c r="H207" i="11" s="1"/>
  <c r="I207" i="11"/>
  <c r="J207" i="11" s="1"/>
  <c r="L207" i="11" s="1"/>
  <c r="M207" i="11"/>
  <c r="I208" i="11"/>
  <c r="J208" i="11" s="1"/>
  <c r="L208" i="11" s="1"/>
  <c r="M208" i="11"/>
  <c r="H209" i="11"/>
  <c r="I209" i="11"/>
  <c r="J209" i="11" s="1"/>
  <c r="L209" i="11" s="1"/>
  <c r="M209" i="11"/>
  <c r="I210" i="11"/>
  <c r="J210" i="11" s="1"/>
  <c r="L210" i="11" s="1"/>
  <c r="M210" i="11"/>
  <c r="I211" i="11"/>
  <c r="J211" i="11" s="1"/>
  <c r="L211" i="11" s="1"/>
  <c r="M211" i="11"/>
  <c r="G212" i="11"/>
  <c r="H212" i="11" s="1"/>
  <c r="I212" i="11"/>
  <c r="J212" i="11" s="1"/>
  <c r="L212" i="11" s="1"/>
  <c r="M212" i="11"/>
  <c r="G213" i="11"/>
  <c r="H213" i="11" s="1"/>
  <c r="I213" i="11"/>
  <c r="J213" i="11" s="1"/>
  <c r="L213" i="11" s="1"/>
  <c r="M213" i="11"/>
  <c r="G214" i="11"/>
  <c r="H214" i="11" s="1"/>
  <c r="I214" i="11"/>
  <c r="J214" i="11" s="1"/>
  <c r="L214" i="11" s="1"/>
  <c r="M214" i="11"/>
  <c r="G215" i="11"/>
  <c r="H215" i="11" s="1"/>
  <c r="I215" i="11"/>
  <c r="J215" i="11" s="1"/>
  <c r="L215" i="11" s="1"/>
  <c r="M215" i="11"/>
  <c r="G216" i="11"/>
  <c r="H216" i="11" s="1"/>
  <c r="I216" i="11"/>
  <c r="J216" i="11" s="1"/>
  <c r="L216" i="11" s="1"/>
  <c r="M216" i="11"/>
  <c r="G217" i="11"/>
  <c r="H217" i="11" s="1"/>
  <c r="I217" i="11"/>
  <c r="J217" i="11" s="1"/>
  <c r="L217" i="11" s="1"/>
  <c r="M217" i="11"/>
  <c r="G218" i="11"/>
  <c r="H218" i="11" s="1"/>
  <c r="I218" i="11"/>
  <c r="J218" i="11" s="1"/>
  <c r="L218" i="11" s="1"/>
  <c r="M218" i="11"/>
  <c r="G219" i="11"/>
  <c r="H219" i="11" s="1"/>
  <c r="I219" i="11"/>
  <c r="J219" i="11" s="1"/>
  <c r="L219" i="11" s="1"/>
  <c r="M219" i="11"/>
  <c r="G220" i="11"/>
  <c r="H220" i="11" s="1"/>
  <c r="I220" i="11"/>
  <c r="J220" i="11" s="1"/>
  <c r="L220" i="11" s="1"/>
  <c r="M220" i="11"/>
  <c r="G221" i="11"/>
  <c r="H221" i="11" s="1"/>
  <c r="I221" i="11"/>
  <c r="J221" i="11" s="1"/>
  <c r="L221" i="11" s="1"/>
  <c r="M221" i="11"/>
  <c r="G222" i="11"/>
  <c r="H222" i="11" s="1"/>
  <c r="I222" i="11"/>
  <c r="J222" i="11" s="1"/>
  <c r="L222" i="11" s="1"/>
  <c r="M222" i="11"/>
  <c r="G223" i="11"/>
  <c r="H223" i="11" s="1"/>
  <c r="I223" i="11"/>
  <c r="J223" i="11" s="1"/>
  <c r="L223" i="11" s="1"/>
  <c r="M223" i="11"/>
  <c r="G224" i="11"/>
  <c r="H224" i="11" s="1"/>
  <c r="I224" i="11"/>
  <c r="J224" i="11" s="1"/>
  <c r="L224" i="11" s="1"/>
  <c r="M224" i="11"/>
  <c r="K190" i="6"/>
  <c r="K189" i="6"/>
  <c r="K188" i="6"/>
  <c r="H188" i="6"/>
  <c r="J188" i="6" s="1"/>
  <c r="K187" i="6"/>
  <c r="K186" i="6"/>
  <c r="K185" i="6"/>
  <c r="K184" i="6"/>
  <c r="K183" i="6"/>
  <c r="K182" i="6"/>
  <c r="E15" i="6"/>
  <c r="K226" i="6"/>
  <c r="K225" i="6"/>
  <c r="H225" i="6"/>
  <c r="J225" i="6" s="1"/>
  <c r="K224" i="6"/>
  <c r="K223" i="6"/>
  <c r="K222" i="6"/>
  <c r="K221" i="6"/>
  <c r="K220" i="6"/>
  <c r="K219" i="6"/>
  <c r="K218" i="6"/>
  <c r="K235" i="6"/>
  <c r="K234" i="6"/>
  <c r="K233" i="6"/>
  <c r="K232" i="6"/>
  <c r="K231" i="6"/>
  <c r="K230" i="6"/>
  <c r="K229" i="6"/>
  <c r="K228" i="6"/>
  <c r="K227" i="6"/>
  <c r="K244" i="6"/>
  <c r="H244" i="6"/>
  <c r="J244" i="6" s="1"/>
  <c r="K243" i="6"/>
  <c r="K242" i="6"/>
  <c r="K241" i="6"/>
  <c r="K240" i="6"/>
  <c r="K239" i="6"/>
  <c r="K238" i="6"/>
  <c r="H238" i="6"/>
  <c r="J238" i="6" s="1"/>
  <c r="K237" i="6"/>
  <c r="K236" i="6"/>
  <c r="K199" i="6"/>
  <c r="K198" i="6"/>
  <c r="K197" i="6"/>
  <c r="K196" i="6"/>
  <c r="K195" i="6"/>
  <c r="K194" i="6"/>
  <c r="K193" i="6"/>
  <c r="K192" i="6"/>
  <c r="K191" i="6"/>
  <c r="K208" i="6"/>
  <c r="K207" i="6"/>
  <c r="K206" i="6"/>
  <c r="K205" i="6"/>
  <c r="K204" i="6"/>
  <c r="K203" i="6"/>
  <c r="K202" i="6"/>
  <c r="K201" i="6"/>
  <c r="K200" i="6"/>
  <c r="K217" i="6"/>
  <c r="K216" i="6"/>
  <c r="K215" i="6"/>
  <c r="K214" i="6"/>
  <c r="K213" i="6"/>
  <c r="K212" i="6"/>
  <c r="H212" i="6"/>
  <c r="J212" i="6" s="1"/>
  <c r="K211" i="6"/>
  <c r="K210" i="6"/>
  <c r="K209" i="6"/>
  <c r="N155" i="11" l="1"/>
  <c r="L238" i="6"/>
  <c r="N156" i="11"/>
  <c r="L218" i="6"/>
  <c r="N177" i="11"/>
  <c r="N184" i="11"/>
  <c r="N172" i="11"/>
  <c r="N159" i="11"/>
  <c r="N160" i="11"/>
  <c r="N163" i="11"/>
  <c r="N194" i="11"/>
  <c r="N174" i="11"/>
  <c r="N164" i="11"/>
  <c r="N168" i="11"/>
  <c r="N158" i="11"/>
  <c r="N161" i="11"/>
  <c r="L237" i="6"/>
  <c r="L203" i="6"/>
  <c r="L183" i="6"/>
  <c r="L191" i="6"/>
  <c r="L199" i="6"/>
  <c r="L207" i="6"/>
  <c r="L214" i="6"/>
  <c r="L188" i="6"/>
  <c r="L186" i="6"/>
  <c r="L200" i="6"/>
  <c r="L208" i="6"/>
  <c r="L215" i="6"/>
  <c r="N183" i="11"/>
  <c r="N154" i="11"/>
  <c r="N157" i="11"/>
  <c r="L185" i="6"/>
  <c r="L195" i="6"/>
  <c r="L201" i="6"/>
  <c r="L209" i="6"/>
  <c r="L239" i="6"/>
  <c r="L184" i="6"/>
  <c r="L194" i="6"/>
  <c r="L217" i="6"/>
  <c r="L232" i="6"/>
  <c r="L204" i="6"/>
  <c r="L187" i="6"/>
  <c r="L210" i="6"/>
  <c r="L241" i="6"/>
  <c r="L182" i="6"/>
  <c r="L213" i="6"/>
  <c r="L226" i="6"/>
  <c r="L242" i="6"/>
  <c r="N173" i="11"/>
  <c r="N170" i="11"/>
  <c r="L189" i="6"/>
  <c r="L197" i="6"/>
  <c r="L205" i="6"/>
  <c r="L193" i="6"/>
  <c r="L190" i="6"/>
  <c r="L198" i="6"/>
  <c r="L211" i="6"/>
  <c r="L222" i="6"/>
  <c r="L228" i="6"/>
  <c r="N167" i="11"/>
  <c r="N153" i="11"/>
  <c r="N166" i="11"/>
  <c r="N200" i="11"/>
  <c r="N189" i="11"/>
  <c r="N187" i="11"/>
  <c r="N162" i="11"/>
  <c r="N185" i="11"/>
  <c r="N176" i="11"/>
  <c r="N178" i="11"/>
  <c r="N169" i="11"/>
  <c r="N171" i="11"/>
  <c r="N175" i="11"/>
  <c r="N192" i="11"/>
  <c r="N181" i="11"/>
  <c r="N188" i="11"/>
  <c r="N201" i="11"/>
  <c r="N190" i="11"/>
  <c r="N197" i="11"/>
  <c r="N186" i="11"/>
  <c r="N193" i="11"/>
  <c r="N182" i="11"/>
  <c r="N202" i="11"/>
  <c r="N191" i="11"/>
  <c r="N180" i="11"/>
  <c r="N199" i="11"/>
  <c r="N206" i="11"/>
  <c r="N195" i="11"/>
  <c r="N198" i="11"/>
  <c r="N205" i="11"/>
  <c r="N196" i="11"/>
  <c r="N204" i="11"/>
  <c r="N203" i="11"/>
  <c r="N217" i="11"/>
  <c r="N212" i="11"/>
  <c r="N213" i="11"/>
  <c r="N209" i="11"/>
  <c r="N211" i="11"/>
  <c r="N218" i="11"/>
  <c r="N219" i="11"/>
  <c r="N222" i="11"/>
  <c r="N220" i="11"/>
  <c r="N208" i="11"/>
  <c r="N224" i="11"/>
  <c r="N223" i="11"/>
  <c r="N207" i="11"/>
  <c r="N210" i="11"/>
  <c r="N215" i="11"/>
  <c r="N221" i="11"/>
  <c r="N216" i="11"/>
  <c r="N214" i="11"/>
  <c r="L212" i="6"/>
  <c r="L216" i="6"/>
  <c r="L202" i="6"/>
  <c r="L206" i="6"/>
  <c r="L192" i="6"/>
  <c r="L196" i="6"/>
  <c r="L236" i="6"/>
  <c r="L240" i="6"/>
  <c r="L244" i="6"/>
  <c r="L230" i="6"/>
  <c r="L234" i="6"/>
  <c r="L220" i="6"/>
  <c r="L224" i="6"/>
  <c r="L243" i="6"/>
  <c r="L229" i="6"/>
  <c r="L233" i="6"/>
  <c r="L219" i="6"/>
  <c r="L223" i="6"/>
  <c r="L227" i="6"/>
  <c r="L231" i="6"/>
  <c r="L235" i="6"/>
  <c r="L221" i="6"/>
  <c r="L225" i="6"/>
  <c r="H84" i="1" l="1"/>
  <c r="I84" i="1" s="1"/>
  <c r="H65" i="1"/>
  <c r="I65" i="1" s="1"/>
  <c r="I226" i="11" l="1"/>
  <c r="J226" i="11" s="1"/>
  <c r="L226" i="11" s="1"/>
  <c r="I227" i="11"/>
  <c r="J227" i="11" s="1"/>
  <c r="L227" i="11" s="1"/>
  <c r="I228" i="11"/>
  <c r="J228" i="11" s="1"/>
  <c r="L228" i="11" s="1"/>
  <c r="I229" i="11"/>
  <c r="J229" i="11" s="1"/>
  <c r="L229" i="11" s="1"/>
  <c r="I230" i="11"/>
  <c r="J230" i="11" s="1"/>
  <c r="L230" i="11" s="1"/>
  <c r="I231" i="11"/>
  <c r="J231" i="11" s="1"/>
  <c r="L231" i="11" s="1"/>
  <c r="I232" i="11"/>
  <c r="J232" i="11" s="1"/>
  <c r="L232" i="11" s="1"/>
  <c r="I233" i="11"/>
  <c r="J233" i="11" s="1"/>
  <c r="L233" i="11" s="1"/>
  <c r="I225" i="11"/>
  <c r="J225" i="11" s="1"/>
  <c r="L225" i="11" s="1"/>
  <c r="I145" i="11"/>
  <c r="J145" i="11" s="1"/>
  <c r="L145" i="11" s="1"/>
  <c r="I146" i="11"/>
  <c r="J146" i="11" s="1"/>
  <c r="L146" i="11" s="1"/>
  <c r="I147" i="11"/>
  <c r="J147" i="11" s="1"/>
  <c r="L147" i="11" s="1"/>
  <c r="I148" i="11"/>
  <c r="J148" i="11" s="1"/>
  <c r="L148" i="11" s="1"/>
  <c r="I149" i="11"/>
  <c r="J149" i="11" s="1"/>
  <c r="L149" i="11" s="1"/>
  <c r="I150" i="11"/>
  <c r="J150" i="11" s="1"/>
  <c r="L150" i="11" s="1"/>
  <c r="I151" i="11"/>
  <c r="J151" i="11" s="1"/>
  <c r="L151" i="11" s="1"/>
  <c r="I152" i="11"/>
  <c r="J152" i="11" s="1"/>
  <c r="L152" i="11" s="1"/>
  <c r="I144" i="11"/>
  <c r="J144" i="11" s="1"/>
  <c r="L144" i="11" s="1"/>
  <c r="I140" i="11"/>
  <c r="J140" i="11" s="1"/>
  <c r="L140" i="11" s="1"/>
  <c r="I132" i="11"/>
  <c r="J132" i="11" s="1"/>
  <c r="L132" i="11" s="1"/>
  <c r="I133" i="11"/>
  <c r="J133" i="11" s="1"/>
  <c r="L133" i="11" s="1"/>
  <c r="I134" i="11"/>
  <c r="J134" i="11" s="1"/>
  <c r="L134" i="11" s="1"/>
  <c r="I135" i="11"/>
  <c r="J135" i="11" s="1"/>
  <c r="L135" i="11" s="1"/>
  <c r="I136" i="11"/>
  <c r="J136" i="11" s="1"/>
  <c r="L136" i="11" s="1"/>
  <c r="I137" i="11"/>
  <c r="J137" i="11" s="1"/>
  <c r="L137" i="11" s="1"/>
  <c r="I138" i="11"/>
  <c r="J138" i="11" s="1"/>
  <c r="L138" i="11" s="1"/>
  <c r="I139" i="11"/>
  <c r="J139" i="11" s="1"/>
  <c r="L139" i="11" s="1"/>
  <c r="I131" i="11"/>
  <c r="J131" i="11" s="1"/>
  <c r="L131" i="11" s="1"/>
  <c r="I123" i="11"/>
  <c r="J123" i="11" s="1"/>
  <c r="L123" i="11" s="1"/>
  <c r="I124" i="11"/>
  <c r="J124" i="11" s="1"/>
  <c r="L124" i="11" s="1"/>
  <c r="I125" i="11"/>
  <c r="J125" i="11" s="1"/>
  <c r="L125" i="11" s="1"/>
  <c r="I126" i="11"/>
  <c r="J126" i="11" s="1"/>
  <c r="L126" i="11" s="1"/>
  <c r="I127" i="11"/>
  <c r="J127" i="11" s="1"/>
  <c r="L127" i="11" s="1"/>
  <c r="I128" i="11"/>
  <c r="J128" i="11" s="1"/>
  <c r="L128" i="11" s="1"/>
  <c r="I129" i="11"/>
  <c r="J129" i="11" s="1"/>
  <c r="L129" i="11" s="1"/>
  <c r="I130" i="11"/>
  <c r="J130" i="11" s="1"/>
  <c r="L130" i="11" s="1"/>
  <c r="I122" i="11"/>
  <c r="J122" i="11" s="1"/>
  <c r="L122" i="11" s="1"/>
  <c r="I114" i="11"/>
  <c r="J114" i="11" s="1"/>
  <c r="L114" i="11" s="1"/>
  <c r="I115" i="11"/>
  <c r="J115" i="11" s="1"/>
  <c r="L115" i="11" s="1"/>
  <c r="I116" i="11"/>
  <c r="J116" i="11" s="1"/>
  <c r="L116" i="11" s="1"/>
  <c r="I117" i="11"/>
  <c r="J117" i="11" s="1"/>
  <c r="L117" i="11" s="1"/>
  <c r="I118" i="11"/>
  <c r="J118" i="11" s="1"/>
  <c r="L118" i="11" s="1"/>
  <c r="I119" i="11"/>
  <c r="J119" i="11" s="1"/>
  <c r="L119" i="11" s="1"/>
  <c r="I120" i="11"/>
  <c r="J120" i="11" s="1"/>
  <c r="L120" i="11" s="1"/>
  <c r="I121" i="11"/>
  <c r="J121" i="11" s="1"/>
  <c r="L121" i="11" s="1"/>
  <c r="I113" i="11"/>
  <c r="J113" i="11" s="1"/>
  <c r="L113" i="11" s="1"/>
  <c r="I105" i="11"/>
  <c r="J105" i="11" s="1"/>
  <c r="L105" i="11" s="1"/>
  <c r="I106" i="11"/>
  <c r="J106" i="11" s="1"/>
  <c r="L106" i="11" s="1"/>
  <c r="I107" i="11"/>
  <c r="J107" i="11" s="1"/>
  <c r="L107" i="11" s="1"/>
  <c r="I108" i="11"/>
  <c r="J108" i="11" s="1"/>
  <c r="L108" i="11" s="1"/>
  <c r="I109" i="11"/>
  <c r="J109" i="11" s="1"/>
  <c r="L109" i="11" s="1"/>
  <c r="I110" i="11"/>
  <c r="J110" i="11" s="1"/>
  <c r="L110" i="11" s="1"/>
  <c r="I111" i="11"/>
  <c r="J111" i="11" s="1"/>
  <c r="L111" i="11" s="1"/>
  <c r="I112" i="11"/>
  <c r="J112" i="11" s="1"/>
  <c r="L112" i="11" s="1"/>
  <c r="I104" i="11"/>
  <c r="J104" i="11" s="1"/>
  <c r="L104" i="11" s="1"/>
  <c r="I96" i="11"/>
  <c r="J96" i="11" s="1"/>
  <c r="L96" i="11" s="1"/>
  <c r="I97" i="11"/>
  <c r="J97" i="11" s="1"/>
  <c r="L97" i="11" s="1"/>
  <c r="I98" i="11"/>
  <c r="J98" i="11" s="1"/>
  <c r="L98" i="11" s="1"/>
  <c r="I99" i="11"/>
  <c r="J99" i="11" s="1"/>
  <c r="L99" i="11" s="1"/>
  <c r="I100" i="11"/>
  <c r="J100" i="11" s="1"/>
  <c r="L100" i="11" s="1"/>
  <c r="I101" i="11"/>
  <c r="J101" i="11" s="1"/>
  <c r="L101" i="11" s="1"/>
  <c r="I102" i="11"/>
  <c r="J102" i="11" s="1"/>
  <c r="L102" i="11" s="1"/>
  <c r="I103" i="11"/>
  <c r="J103" i="11" s="1"/>
  <c r="L103" i="11" s="1"/>
  <c r="I95" i="11"/>
  <c r="J95" i="11" s="1"/>
  <c r="L95" i="11" s="1"/>
  <c r="I87" i="11"/>
  <c r="J87" i="11" s="1"/>
  <c r="L87" i="11" s="1"/>
  <c r="I88" i="11"/>
  <c r="J88" i="11" s="1"/>
  <c r="L88" i="11" s="1"/>
  <c r="I89" i="11"/>
  <c r="J89" i="11" s="1"/>
  <c r="L89" i="11" s="1"/>
  <c r="I90" i="11"/>
  <c r="J90" i="11" s="1"/>
  <c r="L90" i="11" s="1"/>
  <c r="I91" i="11"/>
  <c r="J91" i="11" s="1"/>
  <c r="L91" i="11" s="1"/>
  <c r="I92" i="11"/>
  <c r="J92" i="11" s="1"/>
  <c r="L92" i="11" s="1"/>
  <c r="I93" i="11"/>
  <c r="J93" i="11" s="1"/>
  <c r="L93" i="11" s="1"/>
  <c r="I94" i="11"/>
  <c r="J94" i="11" s="1"/>
  <c r="L94" i="11" s="1"/>
  <c r="I86" i="11"/>
  <c r="J86" i="11" s="1"/>
  <c r="L86" i="11" s="1"/>
  <c r="I78" i="11"/>
  <c r="J78" i="11" s="1"/>
  <c r="L78" i="11" s="1"/>
  <c r="I79" i="11"/>
  <c r="J79" i="11" s="1"/>
  <c r="L79" i="11" s="1"/>
  <c r="I80" i="11"/>
  <c r="J80" i="11" s="1"/>
  <c r="L80" i="11" s="1"/>
  <c r="I81" i="11"/>
  <c r="J81" i="11" s="1"/>
  <c r="L81" i="11" s="1"/>
  <c r="I82" i="11"/>
  <c r="J82" i="11" s="1"/>
  <c r="L82" i="11" s="1"/>
  <c r="I83" i="11"/>
  <c r="J83" i="11" s="1"/>
  <c r="L83" i="11" s="1"/>
  <c r="I84" i="11"/>
  <c r="J84" i="11" s="1"/>
  <c r="L84" i="11" s="1"/>
  <c r="I85" i="11"/>
  <c r="J85" i="11" s="1"/>
  <c r="L85" i="11" s="1"/>
  <c r="I77" i="11"/>
  <c r="J77" i="11" s="1"/>
  <c r="L77" i="11" s="1"/>
  <c r="I69" i="11"/>
  <c r="J69" i="11" s="1"/>
  <c r="L69" i="11" s="1"/>
  <c r="I70" i="11"/>
  <c r="J70" i="11" s="1"/>
  <c r="L70" i="11" s="1"/>
  <c r="I71" i="11"/>
  <c r="J71" i="11" s="1"/>
  <c r="L71" i="11" s="1"/>
  <c r="I72" i="11"/>
  <c r="J72" i="11" s="1"/>
  <c r="L72" i="11" s="1"/>
  <c r="I73" i="11"/>
  <c r="J73" i="11" s="1"/>
  <c r="L73" i="11" s="1"/>
  <c r="I74" i="11"/>
  <c r="J74" i="11" s="1"/>
  <c r="L74" i="11" s="1"/>
  <c r="I75" i="11"/>
  <c r="J75" i="11" s="1"/>
  <c r="L75" i="11" s="1"/>
  <c r="I76" i="11"/>
  <c r="J76" i="11" s="1"/>
  <c r="L76" i="11" s="1"/>
  <c r="I68" i="11"/>
  <c r="J68" i="11" s="1"/>
  <c r="L68" i="11" s="1"/>
  <c r="I60" i="11"/>
  <c r="J60" i="11" s="1"/>
  <c r="L60" i="11" s="1"/>
  <c r="I61" i="11"/>
  <c r="J61" i="11" s="1"/>
  <c r="L61" i="11" s="1"/>
  <c r="I62" i="11"/>
  <c r="J62" i="11" s="1"/>
  <c r="L62" i="11" s="1"/>
  <c r="I63" i="11"/>
  <c r="J63" i="11" s="1"/>
  <c r="L63" i="11" s="1"/>
  <c r="I64" i="11"/>
  <c r="J64" i="11" s="1"/>
  <c r="L64" i="11" s="1"/>
  <c r="I65" i="11"/>
  <c r="J65" i="11" s="1"/>
  <c r="L65" i="11" s="1"/>
  <c r="I66" i="11"/>
  <c r="J66" i="11" s="1"/>
  <c r="L66" i="11" s="1"/>
  <c r="I67" i="11"/>
  <c r="J67" i="11" s="1"/>
  <c r="L67" i="11" s="1"/>
  <c r="I59" i="11"/>
  <c r="J59" i="11" s="1"/>
  <c r="L59" i="11" s="1"/>
  <c r="I51" i="11"/>
  <c r="J51" i="11" s="1"/>
  <c r="L51" i="11" s="1"/>
  <c r="I52" i="11"/>
  <c r="J52" i="11" s="1"/>
  <c r="L52" i="11" s="1"/>
  <c r="I53" i="11"/>
  <c r="J53" i="11" s="1"/>
  <c r="L53" i="11" s="1"/>
  <c r="I54" i="11"/>
  <c r="J54" i="11" s="1"/>
  <c r="L54" i="11" s="1"/>
  <c r="I55" i="11"/>
  <c r="J55" i="11" s="1"/>
  <c r="L55" i="11" s="1"/>
  <c r="I56" i="11"/>
  <c r="J56" i="11" s="1"/>
  <c r="L56" i="11" s="1"/>
  <c r="I57" i="11"/>
  <c r="J57" i="11" s="1"/>
  <c r="L57" i="11" s="1"/>
  <c r="I58" i="11"/>
  <c r="J58" i="11" s="1"/>
  <c r="L58" i="11" s="1"/>
  <c r="I50" i="11"/>
  <c r="J50" i="11" s="1"/>
  <c r="L50" i="11" s="1"/>
  <c r="I42" i="11"/>
  <c r="J42" i="11" s="1"/>
  <c r="L42" i="11" s="1"/>
  <c r="I43" i="11"/>
  <c r="J43" i="11" s="1"/>
  <c r="L43" i="11" s="1"/>
  <c r="I44" i="11"/>
  <c r="J44" i="11" s="1"/>
  <c r="L44" i="11" s="1"/>
  <c r="I45" i="11"/>
  <c r="J45" i="11" s="1"/>
  <c r="L45" i="11" s="1"/>
  <c r="I46" i="11"/>
  <c r="J46" i="11" s="1"/>
  <c r="L46" i="11" s="1"/>
  <c r="I47" i="11"/>
  <c r="J47" i="11" s="1"/>
  <c r="L47" i="11" s="1"/>
  <c r="I48" i="11"/>
  <c r="J48" i="11" s="1"/>
  <c r="L48" i="11" s="1"/>
  <c r="I49" i="11"/>
  <c r="J49" i="11" s="1"/>
  <c r="L49" i="11" s="1"/>
  <c r="I41" i="11"/>
  <c r="J41" i="11" s="1"/>
  <c r="L41" i="11" s="1"/>
  <c r="I33" i="11"/>
  <c r="J33" i="11" s="1"/>
  <c r="L33" i="11" s="1"/>
  <c r="I34" i="11"/>
  <c r="J34" i="11" s="1"/>
  <c r="L34" i="11" s="1"/>
  <c r="I35" i="11"/>
  <c r="J35" i="11" s="1"/>
  <c r="L35" i="11" s="1"/>
  <c r="I36" i="11"/>
  <c r="J36" i="11" s="1"/>
  <c r="L36" i="11" s="1"/>
  <c r="I37" i="11"/>
  <c r="J37" i="11" s="1"/>
  <c r="L37" i="11" s="1"/>
  <c r="I38" i="11"/>
  <c r="J38" i="11" s="1"/>
  <c r="L38" i="11" s="1"/>
  <c r="I39" i="11"/>
  <c r="J39" i="11" s="1"/>
  <c r="L39" i="11" s="1"/>
  <c r="I40" i="11"/>
  <c r="J40" i="11" s="1"/>
  <c r="L40" i="11" s="1"/>
  <c r="I32" i="11"/>
  <c r="J32" i="11" s="1"/>
  <c r="L32" i="11" s="1"/>
  <c r="I24" i="11"/>
  <c r="J24" i="11" s="1"/>
  <c r="L24" i="11" s="1"/>
  <c r="I25" i="11"/>
  <c r="J25" i="11" s="1"/>
  <c r="L25" i="11" s="1"/>
  <c r="I26" i="11"/>
  <c r="J26" i="11" s="1"/>
  <c r="L26" i="11" s="1"/>
  <c r="I27" i="11"/>
  <c r="J27" i="11" s="1"/>
  <c r="L27" i="11" s="1"/>
  <c r="I28" i="11"/>
  <c r="J28" i="11" s="1"/>
  <c r="L28" i="11" s="1"/>
  <c r="I29" i="11"/>
  <c r="J29" i="11" s="1"/>
  <c r="L29" i="11" s="1"/>
  <c r="I30" i="11"/>
  <c r="J30" i="11" s="1"/>
  <c r="L30" i="11" s="1"/>
  <c r="I31" i="11"/>
  <c r="J31" i="11" s="1"/>
  <c r="L31" i="11" s="1"/>
  <c r="I23" i="11"/>
  <c r="M233" i="11"/>
  <c r="G233" i="11"/>
  <c r="H233" i="11" s="1"/>
  <c r="M232" i="11"/>
  <c r="G232" i="11"/>
  <c r="H232" i="11" s="1"/>
  <c r="M231" i="11"/>
  <c r="G231" i="11"/>
  <c r="H231" i="11" s="1"/>
  <c r="M230" i="11"/>
  <c r="G230" i="11"/>
  <c r="H230" i="11" s="1"/>
  <c r="M229" i="11"/>
  <c r="G229" i="11"/>
  <c r="H229" i="11" s="1"/>
  <c r="M228" i="11"/>
  <c r="G228" i="11"/>
  <c r="H228" i="11" s="1"/>
  <c r="M227" i="11"/>
  <c r="G227" i="11"/>
  <c r="H227" i="11" s="1"/>
  <c r="M226" i="11"/>
  <c r="G226" i="11"/>
  <c r="H226" i="11" s="1"/>
  <c r="M225" i="11"/>
  <c r="G225" i="11"/>
  <c r="H225" i="11" s="1"/>
  <c r="M152" i="11"/>
  <c r="G152" i="11"/>
  <c r="H152" i="11" s="1"/>
  <c r="M151" i="11"/>
  <c r="G151" i="11"/>
  <c r="H151" i="11" s="1"/>
  <c r="M150" i="11"/>
  <c r="G150" i="11"/>
  <c r="H150" i="11" s="1"/>
  <c r="M149" i="11"/>
  <c r="G149" i="11"/>
  <c r="H149" i="11" s="1"/>
  <c r="M148" i="11"/>
  <c r="G148" i="11"/>
  <c r="H148" i="11" s="1"/>
  <c r="M147" i="11"/>
  <c r="G147" i="11"/>
  <c r="H147" i="11" s="1"/>
  <c r="M146" i="11"/>
  <c r="G146" i="11"/>
  <c r="H146" i="11" s="1"/>
  <c r="M145" i="11"/>
  <c r="G145" i="11"/>
  <c r="H145" i="11" s="1"/>
  <c r="G144" i="11"/>
  <c r="H144" i="11" s="1"/>
  <c r="M140" i="11"/>
  <c r="H140" i="11"/>
  <c r="M139" i="11"/>
  <c r="G139" i="11"/>
  <c r="H139" i="11" s="1"/>
  <c r="M138" i="11"/>
  <c r="G138" i="11"/>
  <c r="H138" i="11" s="1"/>
  <c r="M137" i="11"/>
  <c r="G137" i="11"/>
  <c r="H137" i="11" s="1"/>
  <c r="M136" i="11"/>
  <c r="G136" i="11"/>
  <c r="H136" i="11" s="1"/>
  <c r="M135" i="11"/>
  <c r="G135" i="11"/>
  <c r="H135" i="11" s="1"/>
  <c r="M134" i="11"/>
  <c r="G134" i="11"/>
  <c r="H134" i="11" s="1"/>
  <c r="M133" i="11"/>
  <c r="G133" i="11"/>
  <c r="H133" i="11" s="1"/>
  <c r="M132" i="11"/>
  <c r="G132" i="11"/>
  <c r="H132" i="11" s="1"/>
  <c r="M131" i="11"/>
  <c r="G131" i="11"/>
  <c r="H131" i="11" s="1"/>
  <c r="M130" i="11"/>
  <c r="G130" i="11"/>
  <c r="H130" i="11" s="1"/>
  <c r="M129" i="11"/>
  <c r="G129" i="11"/>
  <c r="H129" i="11" s="1"/>
  <c r="M128" i="11"/>
  <c r="G128" i="11"/>
  <c r="H128" i="11" s="1"/>
  <c r="M127" i="11"/>
  <c r="G127" i="11"/>
  <c r="H127" i="11" s="1"/>
  <c r="M126" i="11"/>
  <c r="G126" i="11"/>
  <c r="H126" i="11" s="1"/>
  <c r="M125" i="11"/>
  <c r="G125" i="11"/>
  <c r="H125" i="11" s="1"/>
  <c r="M124" i="11"/>
  <c r="G124" i="11"/>
  <c r="H124" i="11" s="1"/>
  <c r="M123" i="11"/>
  <c r="G123" i="11"/>
  <c r="H123" i="11" s="1"/>
  <c r="M122" i="11"/>
  <c r="G122" i="11"/>
  <c r="H122" i="11" s="1"/>
  <c r="M121" i="11"/>
  <c r="G121" i="11"/>
  <c r="H121" i="11" s="1"/>
  <c r="M120" i="11"/>
  <c r="G120" i="11"/>
  <c r="H120" i="11" s="1"/>
  <c r="M119" i="11"/>
  <c r="G119" i="11"/>
  <c r="H119" i="11" s="1"/>
  <c r="M118" i="11"/>
  <c r="G118" i="11"/>
  <c r="H118" i="11" s="1"/>
  <c r="M117" i="11"/>
  <c r="G117" i="11"/>
  <c r="H117" i="11" s="1"/>
  <c r="M116" i="11"/>
  <c r="G116" i="11"/>
  <c r="H116" i="11" s="1"/>
  <c r="M115" i="11"/>
  <c r="G115" i="11"/>
  <c r="H115" i="11" s="1"/>
  <c r="M114" i="11"/>
  <c r="G114" i="11"/>
  <c r="H114" i="11" s="1"/>
  <c r="M113" i="11"/>
  <c r="G113" i="11"/>
  <c r="H113" i="11" s="1"/>
  <c r="M112" i="11"/>
  <c r="G112" i="11"/>
  <c r="H112" i="11" s="1"/>
  <c r="M111" i="11"/>
  <c r="G111" i="11"/>
  <c r="H111" i="11" s="1"/>
  <c r="M110" i="11"/>
  <c r="G110" i="11"/>
  <c r="H110" i="11" s="1"/>
  <c r="M109" i="11"/>
  <c r="G109" i="11"/>
  <c r="H109" i="11" s="1"/>
  <c r="M108" i="11"/>
  <c r="G108" i="11"/>
  <c r="H108" i="11" s="1"/>
  <c r="M107" i="11"/>
  <c r="G107" i="11"/>
  <c r="H107" i="11" s="1"/>
  <c r="M106" i="11"/>
  <c r="G106" i="11"/>
  <c r="H106" i="11" s="1"/>
  <c r="M105" i="11"/>
  <c r="G105" i="11"/>
  <c r="H105" i="11" s="1"/>
  <c r="M104" i="11"/>
  <c r="G104" i="11"/>
  <c r="H104" i="11" s="1"/>
  <c r="M103" i="11"/>
  <c r="G103" i="11"/>
  <c r="H103" i="11" s="1"/>
  <c r="M102" i="11"/>
  <c r="G102" i="11"/>
  <c r="H102" i="11" s="1"/>
  <c r="M101" i="11"/>
  <c r="G101" i="11"/>
  <c r="H101" i="11" s="1"/>
  <c r="M100" i="11"/>
  <c r="G100" i="11"/>
  <c r="H100" i="11" s="1"/>
  <c r="M99" i="11"/>
  <c r="G99" i="11"/>
  <c r="H99" i="11" s="1"/>
  <c r="M98" i="11"/>
  <c r="G98" i="11"/>
  <c r="H98" i="11" s="1"/>
  <c r="M97" i="11"/>
  <c r="G97" i="11"/>
  <c r="H97" i="11" s="1"/>
  <c r="M96" i="11"/>
  <c r="G96" i="11"/>
  <c r="H96" i="11" s="1"/>
  <c r="M95" i="11"/>
  <c r="G95" i="11"/>
  <c r="H95" i="11" s="1"/>
  <c r="M94" i="11"/>
  <c r="G94" i="11"/>
  <c r="H94" i="11" s="1"/>
  <c r="M93" i="11"/>
  <c r="G93" i="11"/>
  <c r="H93" i="11" s="1"/>
  <c r="M92" i="11"/>
  <c r="G92" i="11"/>
  <c r="H92" i="11" s="1"/>
  <c r="M91" i="11"/>
  <c r="G91" i="11"/>
  <c r="H91" i="11" s="1"/>
  <c r="M90" i="11"/>
  <c r="G90" i="11"/>
  <c r="H90" i="11" s="1"/>
  <c r="M89" i="11"/>
  <c r="G89" i="11"/>
  <c r="H89" i="11" s="1"/>
  <c r="M88" i="11"/>
  <c r="G88" i="11"/>
  <c r="H88" i="11" s="1"/>
  <c r="M87" i="11"/>
  <c r="G87" i="11"/>
  <c r="H87" i="11" s="1"/>
  <c r="M86" i="11"/>
  <c r="G86" i="11"/>
  <c r="H86" i="11" s="1"/>
  <c r="M85" i="11"/>
  <c r="G85" i="11"/>
  <c r="H85" i="11" s="1"/>
  <c r="M84" i="11"/>
  <c r="G84" i="11"/>
  <c r="H84" i="11" s="1"/>
  <c r="M83" i="11"/>
  <c r="G83" i="11"/>
  <c r="H83" i="11" s="1"/>
  <c r="M82" i="11"/>
  <c r="G82" i="11"/>
  <c r="H82" i="11" s="1"/>
  <c r="M81" i="11"/>
  <c r="G81" i="11"/>
  <c r="H81" i="11" s="1"/>
  <c r="M80" i="11"/>
  <c r="G80" i="11"/>
  <c r="H80" i="11" s="1"/>
  <c r="M79" i="11"/>
  <c r="G79" i="11"/>
  <c r="H79" i="11" s="1"/>
  <c r="M78" i="11"/>
  <c r="G78" i="11"/>
  <c r="H78" i="11" s="1"/>
  <c r="M77" i="11"/>
  <c r="G77" i="11"/>
  <c r="H77" i="11" s="1"/>
  <c r="M76" i="11"/>
  <c r="G76" i="11"/>
  <c r="H76" i="11" s="1"/>
  <c r="M75" i="11"/>
  <c r="G75" i="11"/>
  <c r="H75" i="11" s="1"/>
  <c r="M74" i="11"/>
  <c r="G74" i="11"/>
  <c r="H74" i="11" s="1"/>
  <c r="M73" i="11"/>
  <c r="G73" i="11"/>
  <c r="H73" i="11" s="1"/>
  <c r="M72" i="11"/>
  <c r="G72" i="11"/>
  <c r="H72" i="11" s="1"/>
  <c r="M71" i="11"/>
  <c r="G71" i="11"/>
  <c r="H71" i="11" s="1"/>
  <c r="M70" i="11"/>
  <c r="G70" i="11"/>
  <c r="H70" i="11" s="1"/>
  <c r="M69" i="11"/>
  <c r="G69" i="11"/>
  <c r="H69" i="11" s="1"/>
  <c r="M68" i="11"/>
  <c r="G68" i="11"/>
  <c r="H68" i="11" s="1"/>
  <c r="M67" i="11"/>
  <c r="G67" i="11"/>
  <c r="H67" i="11" s="1"/>
  <c r="M66" i="11"/>
  <c r="G66" i="11"/>
  <c r="H66" i="11" s="1"/>
  <c r="M65" i="11"/>
  <c r="G65" i="11"/>
  <c r="H65" i="11" s="1"/>
  <c r="M64" i="11"/>
  <c r="G64" i="11"/>
  <c r="H64" i="11" s="1"/>
  <c r="M63" i="11"/>
  <c r="G63" i="11"/>
  <c r="H63" i="11" s="1"/>
  <c r="M62" i="11"/>
  <c r="G62" i="11"/>
  <c r="H62" i="11" s="1"/>
  <c r="M61" i="11"/>
  <c r="G61" i="11"/>
  <c r="H61" i="11" s="1"/>
  <c r="M60" i="11"/>
  <c r="G60" i="11"/>
  <c r="H60" i="11" s="1"/>
  <c r="M59" i="11"/>
  <c r="G59" i="11"/>
  <c r="H59" i="11" s="1"/>
  <c r="M58" i="11"/>
  <c r="G58" i="11"/>
  <c r="H58" i="11" s="1"/>
  <c r="M57" i="11"/>
  <c r="G57" i="11"/>
  <c r="H57" i="11" s="1"/>
  <c r="M56" i="11"/>
  <c r="G56" i="11"/>
  <c r="H56" i="11" s="1"/>
  <c r="M55" i="11"/>
  <c r="G55" i="11"/>
  <c r="H55" i="11" s="1"/>
  <c r="M54" i="11"/>
  <c r="G54" i="11"/>
  <c r="H54" i="11" s="1"/>
  <c r="M53" i="11"/>
  <c r="G53" i="11"/>
  <c r="H53" i="11" s="1"/>
  <c r="M52" i="11"/>
  <c r="G52" i="11"/>
  <c r="H52" i="11" s="1"/>
  <c r="M51" i="11"/>
  <c r="G51" i="11"/>
  <c r="H51" i="11" s="1"/>
  <c r="M50" i="11"/>
  <c r="G50" i="11"/>
  <c r="H50" i="11" s="1"/>
  <c r="M49" i="11"/>
  <c r="G49" i="11"/>
  <c r="H49" i="11" s="1"/>
  <c r="M48" i="11"/>
  <c r="G48" i="11"/>
  <c r="H48" i="11" s="1"/>
  <c r="M47" i="11"/>
  <c r="G47" i="11"/>
  <c r="H47" i="11" s="1"/>
  <c r="M46" i="11"/>
  <c r="G46" i="11"/>
  <c r="H46" i="11" s="1"/>
  <c r="M45" i="11"/>
  <c r="G45" i="11"/>
  <c r="H45" i="11" s="1"/>
  <c r="M44" i="11"/>
  <c r="G44" i="11"/>
  <c r="H44" i="11" s="1"/>
  <c r="M43" i="11"/>
  <c r="G43" i="11"/>
  <c r="H43" i="11" s="1"/>
  <c r="M42" i="11"/>
  <c r="G42" i="11"/>
  <c r="H42" i="11" s="1"/>
  <c r="M41" i="11"/>
  <c r="G41" i="11"/>
  <c r="H41" i="11" s="1"/>
  <c r="M40" i="11"/>
  <c r="G40" i="11"/>
  <c r="H40" i="11" s="1"/>
  <c r="M39" i="11"/>
  <c r="H39" i="11"/>
  <c r="M38" i="11"/>
  <c r="G38" i="11"/>
  <c r="H38" i="11" s="1"/>
  <c r="M37" i="11"/>
  <c r="G37" i="11"/>
  <c r="H37" i="11" s="1"/>
  <c r="M36" i="11"/>
  <c r="G36" i="11"/>
  <c r="H36" i="11" s="1"/>
  <c r="M35" i="11"/>
  <c r="G35" i="11"/>
  <c r="H35" i="11" s="1"/>
  <c r="M34" i="11"/>
  <c r="G34" i="11"/>
  <c r="H34" i="11" s="1"/>
  <c r="M33" i="11"/>
  <c r="G33" i="11"/>
  <c r="H33" i="11" s="1"/>
  <c r="M32" i="11"/>
  <c r="G32" i="11"/>
  <c r="H32" i="11" s="1"/>
  <c r="M31" i="11"/>
  <c r="G31" i="11"/>
  <c r="H31" i="11" s="1"/>
  <c r="M30" i="11"/>
  <c r="G30" i="11"/>
  <c r="H30" i="11" s="1"/>
  <c r="M29" i="11"/>
  <c r="G29" i="11"/>
  <c r="H29" i="11" s="1"/>
  <c r="M28" i="11"/>
  <c r="G28" i="11"/>
  <c r="H28" i="11" s="1"/>
  <c r="M27" i="11"/>
  <c r="G27" i="11"/>
  <c r="H27" i="11" s="1"/>
  <c r="M26" i="11"/>
  <c r="G26" i="11"/>
  <c r="H26" i="11" s="1"/>
  <c r="M25" i="11"/>
  <c r="G25" i="11"/>
  <c r="H25" i="11" s="1"/>
  <c r="M24" i="11"/>
  <c r="G24" i="11"/>
  <c r="H24" i="11" s="1"/>
  <c r="G23" i="11"/>
  <c r="N67" i="11" l="1"/>
  <c r="H23" i="11"/>
  <c r="F15" i="11"/>
  <c r="J23" i="11"/>
  <c r="L23" i="11" s="1"/>
  <c r="N23" i="11" s="1"/>
  <c r="G15" i="11"/>
  <c r="H15" i="11" s="1"/>
  <c r="K15" i="11" s="1"/>
  <c r="N24" i="11"/>
  <c r="N228" i="11"/>
  <c r="N140" i="11"/>
  <c r="N40" i="11"/>
  <c r="N132" i="11"/>
  <c r="N48" i="11"/>
  <c r="N95" i="11"/>
  <c r="N56" i="11"/>
  <c r="N37" i="11"/>
  <c r="N66" i="11"/>
  <c r="N108" i="11"/>
  <c r="N53" i="11"/>
  <c r="N149" i="11"/>
  <c r="N232" i="11"/>
  <c r="N233" i="11"/>
  <c r="N90" i="11"/>
  <c r="N229" i="11"/>
  <c r="N72" i="11"/>
  <c r="N136" i="11"/>
  <c r="N76" i="11"/>
  <c r="N26" i="11"/>
  <c r="N104" i="11"/>
  <c r="N147" i="11"/>
  <c r="N144" i="11"/>
  <c r="N74" i="11"/>
  <c r="N58" i="11"/>
  <c r="N106" i="11"/>
  <c r="N230" i="11"/>
  <c r="N151" i="11"/>
  <c r="N226" i="11"/>
  <c r="N152" i="11"/>
  <c r="N115" i="11"/>
  <c r="N91" i="11"/>
  <c r="N42" i="11"/>
  <c r="N129" i="11"/>
  <c r="N131" i="11"/>
  <c r="N32" i="11"/>
  <c r="N83" i="11"/>
  <c r="N98" i="11"/>
  <c r="N103" i="11"/>
  <c r="N124" i="11"/>
  <c r="N135" i="11"/>
  <c r="N29" i="11"/>
  <c r="N34" i="11"/>
  <c r="N61" i="11"/>
  <c r="N64" i="11"/>
  <c r="N80" i="11"/>
  <c r="N87" i="11"/>
  <c r="N94" i="11"/>
  <c r="N112" i="11"/>
  <c r="N119" i="11"/>
  <c r="N128" i="11"/>
  <c r="N138" i="11"/>
  <c r="N146" i="11"/>
  <c r="N45" i="11"/>
  <c r="N50" i="11"/>
  <c r="N79" i="11"/>
  <c r="N88" i="11"/>
  <c r="N111" i="11"/>
  <c r="N120" i="11"/>
  <c r="N122" i="11"/>
  <c r="N125" i="11"/>
  <c r="N127" i="11"/>
  <c r="N134" i="11"/>
  <c r="N137" i="11"/>
  <c r="N31" i="11"/>
  <c r="N39" i="11"/>
  <c r="N47" i="11"/>
  <c r="N55" i="11"/>
  <c r="N82" i="11"/>
  <c r="N100" i="11"/>
  <c r="N114" i="11"/>
  <c r="N25" i="11"/>
  <c r="N28" i="11"/>
  <c r="N33" i="11"/>
  <c r="N36" i="11"/>
  <c r="N41" i="11"/>
  <c r="N44" i="11"/>
  <c r="N49" i="11"/>
  <c r="N52" i="11"/>
  <c r="N57" i="11"/>
  <c r="N60" i="11"/>
  <c r="N63" i="11"/>
  <c r="N68" i="11"/>
  <c r="N71" i="11"/>
  <c r="N73" i="11"/>
  <c r="N84" i="11"/>
  <c r="N96" i="11"/>
  <c r="N105" i="11"/>
  <c r="N116" i="11"/>
  <c r="N121" i="11"/>
  <c r="N130" i="11"/>
  <c r="N148" i="11"/>
  <c r="N27" i="11"/>
  <c r="N30" i="11"/>
  <c r="N35" i="11"/>
  <c r="N38" i="11"/>
  <c r="N43" i="11"/>
  <c r="N46" i="11"/>
  <c r="N51" i="11"/>
  <c r="N54" i="11"/>
  <c r="N59" i="11"/>
  <c r="N62" i="11"/>
  <c r="N70" i="11"/>
  <c r="N75" i="11"/>
  <c r="N78" i="11"/>
  <c r="N81" i="11"/>
  <c r="N86" i="11"/>
  <c r="N92" i="11"/>
  <c r="N99" i="11"/>
  <c r="N102" i="11"/>
  <c r="N107" i="11"/>
  <c r="N110" i="11"/>
  <c r="N113" i="11"/>
  <c r="N118" i="11"/>
  <c r="N123" i="11"/>
  <c r="N126" i="11"/>
  <c r="N133" i="11"/>
  <c r="N139" i="11"/>
  <c r="N145" i="11"/>
  <c r="N150" i="11"/>
  <c r="N225" i="11"/>
  <c r="N77" i="11"/>
  <c r="N109" i="11"/>
  <c r="N227" i="11"/>
  <c r="N65" i="11"/>
  <c r="N69" i="11"/>
  <c r="N85" i="11"/>
  <c r="N89" i="11"/>
  <c r="N93" i="11"/>
  <c r="N97" i="11"/>
  <c r="N101" i="11"/>
  <c r="N117" i="11"/>
  <c r="N231" i="11"/>
  <c r="I87" i="1" l="1"/>
  <c r="H74" i="1"/>
  <c r="I74" i="1" s="1"/>
  <c r="I68" i="1"/>
  <c r="H66" i="1"/>
  <c r="I66" i="1" s="1"/>
  <c r="H64" i="1"/>
  <c r="I64" i="1" s="1"/>
  <c r="H63" i="1"/>
  <c r="I63" i="1" s="1"/>
  <c r="H62" i="1"/>
  <c r="I62" i="1" s="1"/>
  <c r="H61" i="1"/>
  <c r="I61" i="1" s="1"/>
  <c r="H60" i="1"/>
  <c r="I60" i="1" s="1"/>
  <c r="H59" i="1"/>
  <c r="I59" i="1" s="1"/>
  <c r="H57" i="1"/>
  <c r="I57" i="1" s="1"/>
  <c r="H56" i="1"/>
  <c r="I56" i="1" s="1"/>
  <c r="H55" i="1"/>
  <c r="I55" i="1" s="1"/>
  <c r="H54" i="1"/>
  <c r="I54" i="1" s="1"/>
  <c r="I12" i="1" l="1"/>
  <c r="H76" i="1"/>
  <c r="I76" i="1" s="1"/>
  <c r="H78" i="1"/>
  <c r="I78" i="1" s="1"/>
  <c r="H80" i="1"/>
  <c r="I80" i="1" s="1"/>
  <c r="H82" i="1"/>
  <c r="I82" i="1" s="1"/>
  <c r="H85" i="1"/>
  <c r="I85" i="1" s="1"/>
  <c r="H75" i="1"/>
  <c r="I75" i="1" s="1"/>
  <c r="H77" i="1"/>
  <c r="I77" i="1" s="1"/>
  <c r="H79" i="1"/>
  <c r="I79" i="1" s="1"/>
  <c r="H81" i="1"/>
  <c r="I81" i="1" s="1"/>
  <c r="H83" i="1"/>
  <c r="I83" i="1" s="1"/>
  <c r="I67" i="1"/>
  <c r="I86" i="1" l="1"/>
  <c r="J12" i="1" s="1"/>
  <c r="I37" i="2"/>
  <c r="K37" i="2" s="1"/>
  <c r="O119" i="4"/>
  <c r="G69" i="4" l="1"/>
  <c r="G84" i="4"/>
  <c r="K83" i="4"/>
  <c r="G82" i="4"/>
  <c r="G83" i="4"/>
  <c r="G85" i="4"/>
  <c r="G86" i="4"/>
  <c r="G87" i="4"/>
  <c r="G88" i="4"/>
  <c r="G89" i="4"/>
  <c r="G81" i="4"/>
  <c r="G156" i="6" l="1"/>
  <c r="H156" i="6" s="1"/>
  <c r="J156" i="6" s="1"/>
  <c r="G155" i="6"/>
  <c r="H155" i="6" s="1"/>
  <c r="J155" i="6" s="1"/>
  <c r="G154" i="6"/>
  <c r="H154" i="6" s="1"/>
  <c r="J154" i="6" s="1"/>
  <c r="G153" i="6"/>
  <c r="H153" i="6" s="1"/>
  <c r="J153" i="6" s="1"/>
  <c r="G152" i="6"/>
  <c r="H152" i="6" s="1"/>
  <c r="J152" i="6" s="1"/>
  <c r="G151" i="6"/>
  <c r="H151" i="6" s="1"/>
  <c r="J151" i="6" s="1"/>
  <c r="G150" i="6"/>
  <c r="H150" i="6" s="1"/>
  <c r="J150" i="6" s="1"/>
  <c r="G149" i="6"/>
  <c r="H149" i="6" s="1"/>
  <c r="J149" i="6" s="1"/>
  <c r="G148" i="6"/>
  <c r="H148" i="6" s="1"/>
  <c r="J148" i="6" s="1"/>
  <c r="K156" i="6"/>
  <c r="K155" i="6"/>
  <c r="K154" i="6"/>
  <c r="K153" i="6"/>
  <c r="K152" i="6"/>
  <c r="K151" i="6"/>
  <c r="K150" i="6"/>
  <c r="K149" i="6"/>
  <c r="K148" i="6"/>
  <c r="G129" i="6"/>
  <c r="H129" i="6" s="1"/>
  <c r="J129" i="6" s="1"/>
  <c r="G128" i="6"/>
  <c r="H128" i="6" s="1"/>
  <c r="J128" i="6" s="1"/>
  <c r="G127" i="6"/>
  <c r="H127" i="6" s="1"/>
  <c r="J127" i="6" s="1"/>
  <c r="G126" i="6"/>
  <c r="H126" i="6" s="1"/>
  <c r="J126" i="6" s="1"/>
  <c r="G125" i="6"/>
  <c r="H125" i="6" s="1"/>
  <c r="J125" i="6" s="1"/>
  <c r="G124" i="6"/>
  <c r="H124" i="6" s="1"/>
  <c r="J124" i="6" s="1"/>
  <c r="G123" i="6"/>
  <c r="H123" i="6" s="1"/>
  <c r="J123" i="6" s="1"/>
  <c r="G122" i="6"/>
  <c r="H122" i="6" s="1"/>
  <c r="J122" i="6" s="1"/>
  <c r="G121" i="6"/>
  <c r="H121" i="6" s="1"/>
  <c r="J121" i="6" s="1"/>
  <c r="K129" i="6"/>
  <c r="K128" i="6"/>
  <c r="K127" i="6"/>
  <c r="K126" i="6"/>
  <c r="K125" i="6"/>
  <c r="K124" i="6"/>
  <c r="K123" i="6"/>
  <c r="K122" i="6"/>
  <c r="K121" i="6"/>
  <c r="G66" i="6"/>
  <c r="H66" i="6" s="1"/>
  <c r="J66" i="6" s="1"/>
  <c r="G65" i="6"/>
  <c r="H65" i="6" s="1"/>
  <c r="J65" i="6" s="1"/>
  <c r="G64" i="6"/>
  <c r="H64" i="6" s="1"/>
  <c r="J64" i="6" s="1"/>
  <c r="G63" i="6"/>
  <c r="H63" i="6" s="1"/>
  <c r="J63" i="6" s="1"/>
  <c r="G62" i="6"/>
  <c r="H62" i="6" s="1"/>
  <c r="J62" i="6" s="1"/>
  <c r="G61" i="6"/>
  <c r="H61" i="6" s="1"/>
  <c r="J61" i="6" s="1"/>
  <c r="G60" i="6"/>
  <c r="G59" i="6"/>
  <c r="H59" i="6" s="1"/>
  <c r="J59" i="6" s="1"/>
  <c r="G58" i="6"/>
  <c r="H58" i="6" s="1"/>
  <c r="J58" i="6" s="1"/>
  <c r="K66" i="6"/>
  <c r="K65" i="6"/>
  <c r="K64" i="6"/>
  <c r="K63" i="6"/>
  <c r="K62" i="6"/>
  <c r="K61" i="6"/>
  <c r="K60" i="6"/>
  <c r="H60" i="6"/>
  <c r="J60" i="6" s="1"/>
  <c r="K59" i="6"/>
  <c r="K58" i="6"/>
  <c r="G84" i="6"/>
  <c r="H84" i="6" s="1"/>
  <c r="J84" i="6" s="1"/>
  <c r="G83" i="6"/>
  <c r="H83" i="6" s="1"/>
  <c r="J83" i="6" s="1"/>
  <c r="G82" i="6"/>
  <c r="G81" i="6"/>
  <c r="H81" i="6" s="1"/>
  <c r="J81" i="6" s="1"/>
  <c r="G80" i="6"/>
  <c r="H80" i="6" s="1"/>
  <c r="J80" i="6" s="1"/>
  <c r="G79" i="6"/>
  <c r="H79" i="6" s="1"/>
  <c r="J79" i="6" s="1"/>
  <c r="G78" i="6"/>
  <c r="H78" i="6" s="1"/>
  <c r="J78" i="6" s="1"/>
  <c r="G77" i="6"/>
  <c r="H77" i="6" s="1"/>
  <c r="J77" i="6" s="1"/>
  <c r="G76" i="6"/>
  <c r="H76" i="6" s="1"/>
  <c r="J76" i="6" s="1"/>
  <c r="G75" i="6"/>
  <c r="H75" i="6" s="1"/>
  <c r="J75" i="6" s="1"/>
  <c r="G74" i="6"/>
  <c r="H74" i="6" s="1"/>
  <c r="J74" i="6" s="1"/>
  <c r="G73" i="6"/>
  <c r="H73" i="6" s="1"/>
  <c r="J73" i="6" s="1"/>
  <c r="G72" i="6"/>
  <c r="H72" i="6" s="1"/>
  <c r="J72" i="6" s="1"/>
  <c r="G71" i="6"/>
  <c r="H71" i="6" s="1"/>
  <c r="J71" i="6" s="1"/>
  <c r="G70" i="6"/>
  <c r="H70" i="6" s="1"/>
  <c r="J70" i="6" s="1"/>
  <c r="G69" i="6"/>
  <c r="H69" i="6" s="1"/>
  <c r="J69" i="6" s="1"/>
  <c r="G68" i="6"/>
  <c r="H68" i="6" s="1"/>
  <c r="J68" i="6" s="1"/>
  <c r="G67" i="6"/>
  <c r="H67" i="6" s="1"/>
  <c r="J67" i="6" s="1"/>
  <c r="H82" i="6"/>
  <c r="J82" i="6" s="1"/>
  <c r="K75" i="6"/>
  <c r="K74" i="6"/>
  <c r="K73" i="6"/>
  <c r="K72" i="6"/>
  <c r="K71" i="6"/>
  <c r="K70" i="6"/>
  <c r="K69" i="6"/>
  <c r="K68" i="6"/>
  <c r="K67" i="6"/>
  <c r="K84" i="6"/>
  <c r="K83" i="6"/>
  <c r="K82" i="6"/>
  <c r="K81" i="6"/>
  <c r="K80" i="6"/>
  <c r="K79" i="6"/>
  <c r="K78" i="6"/>
  <c r="K77" i="6"/>
  <c r="K76" i="6"/>
  <c r="G262" i="6"/>
  <c r="G261" i="6"/>
  <c r="G260" i="6"/>
  <c r="G259" i="6"/>
  <c r="G258" i="6"/>
  <c r="G257" i="6"/>
  <c r="G256" i="6"/>
  <c r="G255" i="6"/>
  <c r="G254" i="6"/>
  <c r="G253" i="6"/>
  <c r="G252" i="6"/>
  <c r="G251" i="6"/>
  <c r="G249" i="6"/>
  <c r="G248" i="6"/>
  <c r="G247" i="6"/>
  <c r="G246" i="6"/>
  <c r="G245" i="6"/>
  <c r="G181" i="6"/>
  <c r="G180" i="6"/>
  <c r="G179" i="6"/>
  <c r="G178" i="6"/>
  <c r="G177" i="6"/>
  <c r="G176" i="6"/>
  <c r="G175" i="6"/>
  <c r="G174" i="6"/>
  <c r="G173" i="6"/>
  <c r="G165" i="6"/>
  <c r="G164" i="6"/>
  <c r="G163" i="6"/>
  <c r="G162" i="6"/>
  <c r="G161" i="6"/>
  <c r="G160" i="6"/>
  <c r="G159" i="6"/>
  <c r="G158" i="6"/>
  <c r="G157" i="6"/>
  <c r="G147" i="6"/>
  <c r="G146" i="6"/>
  <c r="G145" i="6"/>
  <c r="G144" i="6"/>
  <c r="G143" i="6"/>
  <c r="G142" i="6"/>
  <c r="G141" i="6"/>
  <c r="G140" i="6"/>
  <c r="G139" i="6"/>
  <c r="G138" i="6"/>
  <c r="G137" i="6"/>
  <c r="G136" i="6"/>
  <c r="G135" i="6"/>
  <c r="G134" i="6"/>
  <c r="G133" i="6"/>
  <c r="G132" i="6"/>
  <c r="G131" i="6"/>
  <c r="G130" i="6"/>
  <c r="G120" i="6"/>
  <c r="G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G104" i="6"/>
  <c r="G103" i="6"/>
  <c r="G102" i="6"/>
  <c r="G101" i="6"/>
  <c r="G100" i="6"/>
  <c r="G99" i="6"/>
  <c r="G98" i="6"/>
  <c r="G97" i="6"/>
  <c r="G96" i="6"/>
  <c r="G95" i="6"/>
  <c r="G94" i="6"/>
  <c r="G93" i="6"/>
  <c r="G92" i="6"/>
  <c r="G91" i="6"/>
  <c r="G90" i="6"/>
  <c r="G89" i="6"/>
  <c r="G88" i="6"/>
  <c r="G87" i="6"/>
  <c r="G86" i="6"/>
  <c r="G85" i="6"/>
  <c r="L148" i="6" l="1"/>
  <c r="L63" i="6"/>
  <c r="L62" i="6"/>
  <c r="L123" i="6"/>
  <c r="L82" i="6"/>
  <c r="L78" i="6"/>
  <c r="L74" i="6"/>
  <c r="L75" i="6"/>
  <c r="L125" i="6"/>
  <c r="L150" i="6"/>
  <c r="L80" i="6"/>
  <c r="L84" i="6"/>
  <c r="L61" i="6"/>
  <c r="L65" i="6"/>
  <c r="L121" i="6"/>
  <c r="L129" i="6"/>
  <c r="L154" i="6"/>
  <c r="L127" i="6"/>
  <c r="L152" i="6"/>
  <c r="L156" i="6"/>
  <c r="L70" i="6"/>
  <c r="L59" i="6"/>
  <c r="L67" i="6"/>
  <c r="L71" i="6"/>
  <c r="L79" i="6"/>
  <c r="L83" i="6"/>
  <c r="L60" i="6"/>
  <c r="L64" i="6"/>
  <c r="L124" i="6"/>
  <c r="L128" i="6"/>
  <c r="L149" i="6"/>
  <c r="L153" i="6"/>
  <c r="L68" i="6"/>
  <c r="L72" i="6"/>
  <c r="L76" i="6"/>
  <c r="L77" i="6"/>
  <c r="L69" i="6"/>
  <c r="L73" i="6"/>
  <c r="L81" i="6"/>
  <c r="L58" i="6"/>
  <c r="L66" i="6"/>
  <c r="L122" i="6"/>
  <c r="L126" i="6"/>
  <c r="L151" i="6"/>
  <c r="L155" i="6"/>
  <c r="J26" i="6"/>
  <c r="F26" i="6"/>
  <c r="J27" i="6"/>
  <c r="F27" i="6"/>
  <c r="J28" i="6"/>
  <c r="F28" i="6"/>
  <c r="E19" i="6"/>
  <c r="G26" i="6" l="1"/>
  <c r="I26" i="6" s="1"/>
  <c r="K26" i="6" s="1"/>
  <c r="L26" i="6" s="1"/>
  <c r="G28" i="6"/>
  <c r="I28" i="6" s="1"/>
  <c r="K28" i="6" s="1"/>
  <c r="L28" i="6" s="1"/>
  <c r="G27" i="6"/>
  <c r="I27" i="6" s="1"/>
  <c r="K27" i="6" s="1"/>
  <c r="L27" i="6" s="1"/>
  <c r="K131" i="2"/>
  <c r="K132" i="2"/>
  <c r="K133" i="2"/>
  <c r="K134" i="2"/>
  <c r="K135" i="2"/>
  <c r="K136" i="2"/>
  <c r="G131" i="2"/>
  <c r="G132" i="2"/>
  <c r="G133" i="2"/>
  <c r="G134" i="2"/>
  <c r="G135" i="2"/>
  <c r="G136" i="2"/>
  <c r="K130" i="2"/>
  <c r="G130" i="2"/>
  <c r="E130" i="2"/>
  <c r="E131" i="2"/>
  <c r="E132" i="2"/>
  <c r="E133" i="2"/>
  <c r="E134" i="2"/>
  <c r="E135" i="2"/>
  <c r="E136" i="2"/>
  <c r="E129" i="2"/>
  <c r="I39" i="1"/>
  <c r="K82" i="4" l="1"/>
  <c r="K84" i="4"/>
  <c r="K85" i="4"/>
  <c r="K86" i="4"/>
  <c r="K87" i="4"/>
  <c r="K88" i="4"/>
  <c r="K89" i="4"/>
  <c r="K81" i="4"/>
  <c r="K175" i="6"/>
  <c r="K176" i="6"/>
  <c r="K177" i="6"/>
  <c r="K178" i="6"/>
  <c r="K179" i="6"/>
  <c r="K180" i="6"/>
  <c r="K181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174" i="6"/>
  <c r="F25" i="6" l="1"/>
  <c r="G25" i="6" l="1"/>
  <c r="I25" i="6" s="1"/>
  <c r="K99" i="2"/>
  <c r="K100" i="2"/>
  <c r="K101" i="2"/>
  <c r="K102" i="2"/>
  <c r="K103" i="2"/>
  <c r="K104" i="2"/>
  <c r="K98" i="2"/>
  <c r="G99" i="2"/>
  <c r="G100" i="2"/>
  <c r="G101" i="2"/>
  <c r="G102" i="2"/>
  <c r="G103" i="2"/>
  <c r="G104" i="2"/>
  <c r="G98" i="2"/>
  <c r="F42" i="6" l="1"/>
  <c r="F41" i="6"/>
  <c r="F40" i="6"/>
  <c r="F39" i="6"/>
  <c r="F35" i="6"/>
  <c r="G35" i="6" s="1"/>
  <c r="F34" i="6"/>
  <c r="G34" i="6" s="1"/>
  <c r="F29" i="6"/>
  <c r="F30" i="6"/>
  <c r="G30" i="6" s="1"/>
  <c r="F31" i="6"/>
  <c r="G31" i="6" s="1"/>
  <c r="F32" i="6"/>
  <c r="G32" i="6" s="1"/>
  <c r="F33" i="6"/>
  <c r="G33" i="6" s="1"/>
  <c r="F15" i="6" l="1"/>
  <c r="G29" i="6"/>
  <c r="F19" i="6"/>
  <c r="G15" i="6"/>
  <c r="P68" i="3"/>
  <c r="L14" i="3" s="1"/>
  <c r="P67" i="3"/>
  <c r="L13" i="3" s="1"/>
  <c r="F62" i="3" l="1"/>
  <c r="G62" i="3" s="1"/>
  <c r="F63" i="3"/>
  <c r="G63" i="3" s="1"/>
  <c r="F64" i="3"/>
  <c r="G64" i="3" s="1"/>
  <c r="F65" i="3"/>
  <c r="G65" i="3" s="1"/>
  <c r="J62" i="3"/>
  <c r="K62" i="3" s="1"/>
  <c r="J63" i="3"/>
  <c r="K63" i="3" s="1"/>
  <c r="J64" i="3"/>
  <c r="K64" i="3" s="1"/>
  <c r="J65" i="3"/>
  <c r="K65" i="3" s="1"/>
  <c r="M62" i="3"/>
  <c r="N62" i="3" s="1"/>
  <c r="M63" i="3"/>
  <c r="N63" i="3" s="1"/>
  <c r="M64" i="3"/>
  <c r="N64" i="3" s="1"/>
  <c r="M65" i="3"/>
  <c r="N65" i="3" s="1"/>
  <c r="M61" i="3"/>
  <c r="N61" i="3" s="1"/>
  <c r="J61" i="3"/>
  <c r="K61" i="3" s="1"/>
  <c r="F61" i="3"/>
  <c r="G61" i="3" s="1"/>
  <c r="P69" i="3"/>
  <c r="L15" i="3" s="1"/>
  <c r="E54" i="3"/>
  <c r="O60" i="3" l="1"/>
  <c r="O63" i="3"/>
  <c r="P63" i="3" s="1"/>
  <c r="O61" i="3"/>
  <c r="P61" i="3" s="1"/>
  <c r="O65" i="3"/>
  <c r="P65" i="3" s="1"/>
  <c r="O64" i="3"/>
  <c r="P64" i="3" s="1"/>
  <c r="O62" i="3"/>
  <c r="P62" i="3" s="1"/>
  <c r="K272" i="10"/>
  <c r="K236" i="10"/>
  <c r="K150" i="10"/>
  <c r="K117" i="10"/>
  <c r="K116" i="10"/>
  <c r="P60" i="3" l="1"/>
  <c r="P66" i="3" s="1"/>
  <c r="M13" i="3" s="1"/>
  <c r="K19" i="10"/>
  <c r="K235" i="10"/>
  <c r="K15" i="10" s="1"/>
  <c r="K149" i="10"/>
  <c r="K17" i="10"/>
  <c r="K16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I328" i="10"/>
  <c r="I329" i="10"/>
  <c r="I330" i="10"/>
  <c r="I331" i="10"/>
  <c r="I332" i="10"/>
  <c r="I333" i="10"/>
  <c r="I334" i="10"/>
  <c r="I335" i="10"/>
  <c r="I336" i="10"/>
  <c r="I327" i="10"/>
  <c r="I319" i="10"/>
  <c r="I320" i="10"/>
  <c r="I321" i="10"/>
  <c r="I322" i="10"/>
  <c r="I323" i="10"/>
  <c r="I324" i="10"/>
  <c r="I325" i="10"/>
  <c r="I326" i="10"/>
  <c r="I318" i="10"/>
  <c r="I311" i="10"/>
  <c r="I312" i="10"/>
  <c r="I313" i="10"/>
  <c r="I314" i="10"/>
  <c r="I315" i="10"/>
  <c r="I316" i="10"/>
  <c r="I317" i="10"/>
  <c r="I310" i="10"/>
  <c r="I304" i="10"/>
  <c r="I305" i="10"/>
  <c r="I306" i="10"/>
  <c r="I307" i="10"/>
  <c r="I308" i="10"/>
  <c r="I309" i="10"/>
  <c r="I303" i="10"/>
  <c r="I298" i="10"/>
  <c r="I299" i="10"/>
  <c r="I300" i="10"/>
  <c r="I301" i="10"/>
  <c r="I302" i="10"/>
  <c r="I297" i="10"/>
  <c r="I293" i="10"/>
  <c r="I294" i="10"/>
  <c r="I295" i="10"/>
  <c r="I296" i="10"/>
  <c r="I292" i="10"/>
  <c r="I289" i="10"/>
  <c r="I290" i="10"/>
  <c r="I291" i="10"/>
  <c r="I288" i="10"/>
  <c r="I286" i="10"/>
  <c r="I287" i="10"/>
  <c r="I285" i="10"/>
  <c r="I284" i="10"/>
  <c r="I283" i="10"/>
  <c r="J282" i="10"/>
  <c r="I282" i="10"/>
  <c r="F284" i="10"/>
  <c r="G284" i="10" s="1"/>
  <c r="F285" i="10"/>
  <c r="G285" i="10" s="1"/>
  <c r="F286" i="10"/>
  <c r="G286" i="10" s="1"/>
  <c r="F287" i="10"/>
  <c r="G287" i="10" s="1"/>
  <c r="K287" i="10" s="1"/>
  <c r="F288" i="10"/>
  <c r="G288" i="10" s="1"/>
  <c r="F289" i="10"/>
  <c r="F290" i="10"/>
  <c r="G290" i="10" s="1"/>
  <c r="F291" i="10"/>
  <c r="G291" i="10" s="1"/>
  <c r="F292" i="10"/>
  <c r="G292" i="10" s="1"/>
  <c r="F293" i="10"/>
  <c r="G293" i="10" s="1"/>
  <c r="F294" i="10"/>
  <c r="G294" i="10" s="1"/>
  <c r="F295" i="10"/>
  <c r="G295" i="10" s="1"/>
  <c r="F296" i="10"/>
  <c r="G296" i="10" s="1"/>
  <c r="F297" i="10"/>
  <c r="G297" i="10" s="1"/>
  <c r="F298" i="10"/>
  <c r="G298" i="10" s="1"/>
  <c r="F299" i="10"/>
  <c r="G299" i="10" s="1"/>
  <c r="F300" i="10"/>
  <c r="G300" i="10" s="1"/>
  <c r="F301" i="10"/>
  <c r="G301" i="10" s="1"/>
  <c r="F302" i="10"/>
  <c r="G302" i="10" s="1"/>
  <c r="F303" i="10"/>
  <c r="G303" i="10" s="1"/>
  <c r="F304" i="10"/>
  <c r="G304" i="10" s="1"/>
  <c r="F305" i="10"/>
  <c r="G305" i="10" s="1"/>
  <c r="F306" i="10"/>
  <c r="G306" i="10" s="1"/>
  <c r="F307" i="10"/>
  <c r="G307" i="10" s="1"/>
  <c r="F308" i="10"/>
  <c r="G308" i="10" s="1"/>
  <c r="F309" i="10"/>
  <c r="G309" i="10" s="1"/>
  <c r="F310" i="10"/>
  <c r="G310" i="10" s="1"/>
  <c r="F311" i="10"/>
  <c r="G311" i="10" s="1"/>
  <c r="F312" i="10"/>
  <c r="G312" i="10" s="1"/>
  <c r="F313" i="10"/>
  <c r="G313" i="10" s="1"/>
  <c r="F314" i="10"/>
  <c r="G314" i="10" s="1"/>
  <c r="F315" i="10"/>
  <c r="G315" i="10" s="1"/>
  <c r="F316" i="10"/>
  <c r="G316" i="10" s="1"/>
  <c r="F317" i="10"/>
  <c r="G317" i="10" s="1"/>
  <c r="F318" i="10"/>
  <c r="G318" i="10" s="1"/>
  <c r="F319" i="10"/>
  <c r="G319" i="10" s="1"/>
  <c r="F320" i="10"/>
  <c r="G320" i="10" s="1"/>
  <c r="F321" i="10"/>
  <c r="G321" i="10" s="1"/>
  <c r="F322" i="10"/>
  <c r="G322" i="10" s="1"/>
  <c r="F323" i="10"/>
  <c r="G323" i="10" s="1"/>
  <c r="F324" i="10"/>
  <c r="G324" i="10" s="1"/>
  <c r="F325" i="10"/>
  <c r="G325" i="10" s="1"/>
  <c r="F326" i="10"/>
  <c r="G326" i="10" s="1"/>
  <c r="F327" i="10"/>
  <c r="G327" i="10" s="1"/>
  <c r="F328" i="10"/>
  <c r="G328" i="10" s="1"/>
  <c r="F329" i="10"/>
  <c r="G329" i="10" s="1"/>
  <c r="F330" i="10"/>
  <c r="G330" i="10" s="1"/>
  <c r="F331" i="10"/>
  <c r="G331" i="10" s="1"/>
  <c r="F332" i="10"/>
  <c r="G332" i="10" s="1"/>
  <c r="F333" i="10"/>
  <c r="G333" i="10" s="1"/>
  <c r="F334" i="10"/>
  <c r="G334" i="10" s="1"/>
  <c r="F335" i="10"/>
  <c r="G335" i="10" s="1"/>
  <c r="F336" i="10"/>
  <c r="G336" i="10" s="1"/>
  <c r="F283" i="10"/>
  <c r="G283" i="10" s="1"/>
  <c r="K338" i="10"/>
  <c r="K18" i="10" s="1"/>
  <c r="G289" i="10"/>
  <c r="G282" i="10"/>
  <c r="K331" i="10" l="1"/>
  <c r="K333" i="10"/>
  <c r="K303" i="10"/>
  <c r="K302" i="10"/>
  <c r="K300" i="10"/>
  <c r="K320" i="10"/>
  <c r="K322" i="10"/>
  <c r="K332" i="10"/>
  <c r="K334" i="10"/>
  <c r="K328" i="10"/>
  <c r="K329" i="10"/>
  <c r="K335" i="10"/>
  <c r="K336" i="10"/>
  <c r="K330" i="10"/>
  <c r="K327" i="10"/>
  <c r="K324" i="10"/>
  <c r="K325" i="10"/>
  <c r="K326" i="10"/>
  <c r="K323" i="10"/>
  <c r="K319" i="10"/>
  <c r="K321" i="10"/>
  <c r="K311" i="10"/>
  <c r="K317" i="10"/>
  <c r="K318" i="10"/>
  <c r="K313" i="10"/>
  <c r="K314" i="10"/>
  <c r="K315" i="10"/>
  <c r="K316" i="10"/>
  <c r="K312" i="10"/>
  <c r="K304" i="10"/>
  <c r="K305" i="10"/>
  <c r="K306" i="10"/>
  <c r="K307" i="10"/>
  <c r="K308" i="10"/>
  <c r="K309" i="10"/>
  <c r="K310" i="10"/>
  <c r="K299" i="10"/>
  <c r="K301" i="10"/>
  <c r="K294" i="10"/>
  <c r="K296" i="10"/>
  <c r="K297" i="10"/>
  <c r="K289" i="10"/>
  <c r="K292" i="10"/>
  <c r="K291" i="10"/>
  <c r="K285" i="10"/>
  <c r="K283" i="10"/>
  <c r="K282" i="10"/>
  <c r="K284" i="10"/>
  <c r="K286" i="10"/>
  <c r="K288" i="10"/>
  <c r="K290" i="10"/>
  <c r="K293" i="10"/>
  <c r="K295" i="10"/>
  <c r="K298" i="10"/>
  <c r="K337" i="10" l="1"/>
  <c r="L18" i="10" s="1"/>
  <c r="K271" i="10"/>
  <c r="I249" i="10"/>
  <c r="I250" i="10"/>
  <c r="I251" i="10"/>
  <c r="I252" i="10"/>
  <c r="I253" i="10"/>
  <c r="I254" i="10"/>
  <c r="I255" i="10"/>
  <c r="I256" i="10"/>
  <c r="I257" i="10"/>
  <c r="I261" i="10"/>
  <c r="I262" i="10"/>
  <c r="I263" i="10"/>
  <c r="I264" i="10"/>
  <c r="I265" i="10"/>
  <c r="I266" i="10"/>
  <c r="I267" i="10"/>
  <c r="I268" i="10"/>
  <c r="I269" i="10"/>
  <c r="I260" i="10"/>
  <c r="I248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157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24" i="10"/>
  <c r="K14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38" i="10"/>
  <c r="K13" i="10"/>
  <c r="L19" i="10" l="1"/>
  <c r="F249" i="10"/>
  <c r="G249" i="10" s="1"/>
  <c r="K249" i="10" s="1"/>
  <c r="F250" i="10"/>
  <c r="G250" i="10" s="1"/>
  <c r="K250" i="10" s="1"/>
  <c r="F251" i="10"/>
  <c r="G251" i="10" s="1"/>
  <c r="K251" i="10" s="1"/>
  <c r="F252" i="10"/>
  <c r="G252" i="10" s="1"/>
  <c r="K252" i="10" s="1"/>
  <c r="F253" i="10"/>
  <c r="G253" i="10" s="1"/>
  <c r="K253" i="10" s="1"/>
  <c r="F254" i="10"/>
  <c r="G254" i="10" s="1"/>
  <c r="K254" i="10" s="1"/>
  <c r="F255" i="10"/>
  <c r="G255" i="10" s="1"/>
  <c r="K255" i="10" s="1"/>
  <c r="F256" i="10"/>
  <c r="G256" i="10" s="1"/>
  <c r="K256" i="10" s="1"/>
  <c r="F257" i="10"/>
  <c r="G257" i="10" s="1"/>
  <c r="K257" i="10" s="1"/>
  <c r="F248" i="10"/>
  <c r="G248" i="10" s="1"/>
  <c r="K248" i="10" s="1"/>
  <c r="G247" i="10"/>
  <c r="K247" i="10" s="1"/>
  <c r="G259" i="10" l="1"/>
  <c r="F262" i="10"/>
  <c r="G262" i="10" s="1"/>
  <c r="K262" i="10" s="1"/>
  <c r="F264" i="10"/>
  <c r="G264" i="10" s="1"/>
  <c r="K264" i="10" s="1"/>
  <c r="F266" i="10"/>
  <c r="G266" i="10" s="1"/>
  <c r="K266" i="10" s="1"/>
  <c r="F268" i="10"/>
  <c r="G268" i="10" s="1"/>
  <c r="K268" i="10" s="1"/>
  <c r="F260" i="10"/>
  <c r="G260" i="10" s="1"/>
  <c r="K260" i="10" s="1"/>
  <c r="F261" i="10"/>
  <c r="G261" i="10" s="1"/>
  <c r="K261" i="10" s="1"/>
  <c r="F263" i="10"/>
  <c r="G263" i="10" s="1"/>
  <c r="K263" i="10" s="1"/>
  <c r="F265" i="10"/>
  <c r="G265" i="10" s="1"/>
  <c r="K265" i="10" s="1"/>
  <c r="F267" i="10"/>
  <c r="G267" i="10" s="1"/>
  <c r="K267" i="10" s="1"/>
  <c r="F269" i="10"/>
  <c r="G269" i="10" s="1"/>
  <c r="K269" i="10" s="1"/>
  <c r="F158" i="10"/>
  <c r="G158" i="10" s="1"/>
  <c r="K158" i="10" s="1"/>
  <c r="F159" i="10"/>
  <c r="G159" i="10" s="1"/>
  <c r="K159" i="10" s="1"/>
  <c r="F160" i="10"/>
  <c r="F161" i="10"/>
  <c r="G161" i="10" s="1"/>
  <c r="K161" i="10" s="1"/>
  <c r="F162" i="10"/>
  <c r="G162" i="10" s="1"/>
  <c r="K162" i="10" s="1"/>
  <c r="F163" i="10"/>
  <c r="G163" i="10" s="1"/>
  <c r="K163" i="10" s="1"/>
  <c r="F164" i="10"/>
  <c r="F165" i="10"/>
  <c r="G165" i="10" s="1"/>
  <c r="K165" i="10" s="1"/>
  <c r="F166" i="10"/>
  <c r="G166" i="10" s="1"/>
  <c r="K166" i="10" s="1"/>
  <c r="F167" i="10"/>
  <c r="G167" i="10" s="1"/>
  <c r="K167" i="10" s="1"/>
  <c r="F168" i="10"/>
  <c r="F169" i="10"/>
  <c r="G169" i="10" s="1"/>
  <c r="K169" i="10" s="1"/>
  <c r="F170" i="10"/>
  <c r="G170" i="10" s="1"/>
  <c r="K170" i="10" s="1"/>
  <c r="F171" i="10"/>
  <c r="G171" i="10" s="1"/>
  <c r="K171" i="10" s="1"/>
  <c r="F172" i="10"/>
  <c r="F173" i="10"/>
  <c r="G173" i="10" s="1"/>
  <c r="K173" i="10" s="1"/>
  <c r="F174" i="10"/>
  <c r="G174" i="10" s="1"/>
  <c r="K174" i="10" s="1"/>
  <c r="F175" i="10"/>
  <c r="G175" i="10" s="1"/>
  <c r="K175" i="10" s="1"/>
  <c r="F176" i="10"/>
  <c r="F177" i="10"/>
  <c r="G177" i="10" s="1"/>
  <c r="K177" i="10" s="1"/>
  <c r="F178" i="10"/>
  <c r="G178" i="10" s="1"/>
  <c r="K178" i="10" s="1"/>
  <c r="F179" i="10"/>
  <c r="G179" i="10" s="1"/>
  <c r="K179" i="10" s="1"/>
  <c r="F180" i="10"/>
  <c r="G180" i="10" s="1"/>
  <c r="K180" i="10" s="1"/>
  <c r="F181" i="10"/>
  <c r="G181" i="10" s="1"/>
  <c r="K181" i="10" s="1"/>
  <c r="F182" i="10"/>
  <c r="G182" i="10" s="1"/>
  <c r="K182" i="10" s="1"/>
  <c r="F183" i="10"/>
  <c r="G183" i="10" s="1"/>
  <c r="K183" i="10" s="1"/>
  <c r="F184" i="10"/>
  <c r="G184" i="10" s="1"/>
  <c r="K184" i="10" s="1"/>
  <c r="F185" i="10"/>
  <c r="G185" i="10" s="1"/>
  <c r="K185" i="10" s="1"/>
  <c r="F186" i="10"/>
  <c r="G186" i="10" s="1"/>
  <c r="K186" i="10" s="1"/>
  <c r="F187" i="10"/>
  <c r="G187" i="10" s="1"/>
  <c r="K187" i="10" s="1"/>
  <c r="F188" i="10"/>
  <c r="G188" i="10" s="1"/>
  <c r="K188" i="10" s="1"/>
  <c r="F189" i="10"/>
  <c r="G189" i="10" s="1"/>
  <c r="K189" i="10" s="1"/>
  <c r="F190" i="10"/>
  <c r="G190" i="10" s="1"/>
  <c r="K190" i="10" s="1"/>
  <c r="F191" i="10"/>
  <c r="G191" i="10" s="1"/>
  <c r="K191" i="10" s="1"/>
  <c r="F192" i="10"/>
  <c r="G192" i="10" s="1"/>
  <c r="K192" i="10" s="1"/>
  <c r="F193" i="10"/>
  <c r="G193" i="10" s="1"/>
  <c r="K193" i="10" s="1"/>
  <c r="F194" i="10"/>
  <c r="G194" i="10" s="1"/>
  <c r="K194" i="10" s="1"/>
  <c r="F195" i="10"/>
  <c r="G195" i="10" s="1"/>
  <c r="K195" i="10" s="1"/>
  <c r="F196" i="10"/>
  <c r="G196" i="10" s="1"/>
  <c r="K196" i="10" s="1"/>
  <c r="F197" i="10"/>
  <c r="G197" i="10" s="1"/>
  <c r="K197" i="10" s="1"/>
  <c r="F198" i="10"/>
  <c r="G198" i="10" s="1"/>
  <c r="K198" i="10" s="1"/>
  <c r="F199" i="10"/>
  <c r="G199" i="10" s="1"/>
  <c r="K199" i="10" s="1"/>
  <c r="F200" i="10"/>
  <c r="G200" i="10" s="1"/>
  <c r="K200" i="10" s="1"/>
  <c r="F201" i="10"/>
  <c r="G201" i="10" s="1"/>
  <c r="K201" i="10" s="1"/>
  <c r="F202" i="10"/>
  <c r="G202" i="10" s="1"/>
  <c r="K202" i="10" s="1"/>
  <c r="F203" i="10"/>
  <c r="G203" i="10" s="1"/>
  <c r="K203" i="10" s="1"/>
  <c r="F204" i="10"/>
  <c r="G204" i="10" s="1"/>
  <c r="K204" i="10" s="1"/>
  <c r="F205" i="10"/>
  <c r="G205" i="10" s="1"/>
  <c r="K205" i="10" s="1"/>
  <c r="F206" i="10"/>
  <c r="G206" i="10" s="1"/>
  <c r="K206" i="10" s="1"/>
  <c r="F207" i="10"/>
  <c r="G207" i="10" s="1"/>
  <c r="K207" i="10" s="1"/>
  <c r="F208" i="10"/>
  <c r="G208" i="10" s="1"/>
  <c r="K208" i="10" s="1"/>
  <c r="F209" i="10"/>
  <c r="G209" i="10" s="1"/>
  <c r="K209" i="10" s="1"/>
  <c r="F210" i="10"/>
  <c r="G210" i="10" s="1"/>
  <c r="K210" i="10" s="1"/>
  <c r="F211" i="10"/>
  <c r="G211" i="10" s="1"/>
  <c r="K211" i="10" s="1"/>
  <c r="F212" i="10"/>
  <c r="G212" i="10" s="1"/>
  <c r="K212" i="10" s="1"/>
  <c r="F213" i="10"/>
  <c r="G213" i="10" s="1"/>
  <c r="K213" i="10" s="1"/>
  <c r="F214" i="10"/>
  <c r="G214" i="10" s="1"/>
  <c r="K214" i="10" s="1"/>
  <c r="F215" i="10"/>
  <c r="G215" i="10" s="1"/>
  <c r="K215" i="10" s="1"/>
  <c r="F216" i="10"/>
  <c r="G216" i="10" s="1"/>
  <c r="K216" i="10" s="1"/>
  <c r="F217" i="10"/>
  <c r="G217" i="10" s="1"/>
  <c r="K217" i="10" s="1"/>
  <c r="F218" i="10"/>
  <c r="G218" i="10" s="1"/>
  <c r="K218" i="10" s="1"/>
  <c r="F219" i="10"/>
  <c r="G219" i="10" s="1"/>
  <c r="K219" i="10" s="1"/>
  <c r="F220" i="10"/>
  <c r="G220" i="10" s="1"/>
  <c r="K220" i="10" s="1"/>
  <c r="F221" i="10"/>
  <c r="G221" i="10" s="1"/>
  <c r="K221" i="10" s="1"/>
  <c r="F222" i="10"/>
  <c r="G222" i="10" s="1"/>
  <c r="K222" i="10" s="1"/>
  <c r="F223" i="10"/>
  <c r="G223" i="10" s="1"/>
  <c r="K223" i="10" s="1"/>
  <c r="F224" i="10"/>
  <c r="G224" i="10" s="1"/>
  <c r="K224" i="10" s="1"/>
  <c r="F225" i="10"/>
  <c r="G225" i="10" s="1"/>
  <c r="K225" i="10" s="1"/>
  <c r="F226" i="10"/>
  <c r="G226" i="10" s="1"/>
  <c r="K226" i="10" s="1"/>
  <c r="F227" i="10"/>
  <c r="G227" i="10" s="1"/>
  <c r="K227" i="10" s="1"/>
  <c r="F228" i="10"/>
  <c r="G228" i="10" s="1"/>
  <c r="K228" i="10" s="1"/>
  <c r="F229" i="10"/>
  <c r="G229" i="10" s="1"/>
  <c r="K229" i="10" s="1"/>
  <c r="F230" i="10"/>
  <c r="G230" i="10" s="1"/>
  <c r="K230" i="10" s="1"/>
  <c r="F231" i="10"/>
  <c r="G231" i="10" s="1"/>
  <c r="K231" i="10" s="1"/>
  <c r="F232" i="10"/>
  <c r="G232" i="10" s="1"/>
  <c r="K232" i="10" s="1"/>
  <c r="F233" i="10"/>
  <c r="G233" i="10" s="1"/>
  <c r="K233" i="10" s="1"/>
  <c r="F157" i="10"/>
  <c r="G157" i="10" s="1"/>
  <c r="K157" i="10" s="1"/>
  <c r="F125" i="10"/>
  <c r="F126" i="10"/>
  <c r="F127" i="10"/>
  <c r="K127" i="10" s="1"/>
  <c r="F128" i="10"/>
  <c r="K128" i="10" s="1"/>
  <c r="F129" i="10"/>
  <c r="K129" i="10" s="1"/>
  <c r="F130" i="10"/>
  <c r="F131" i="10"/>
  <c r="K131" i="10" s="1"/>
  <c r="F132" i="10"/>
  <c r="K132" i="10" s="1"/>
  <c r="F133" i="10"/>
  <c r="K133" i="10" s="1"/>
  <c r="F134" i="10"/>
  <c r="K134" i="10" s="1"/>
  <c r="F135" i="10"/>
  <c r="K135" i="10" s="1"/>
  <c r="F136" i="10"/>
  <c r="K136" i="10" s="1"/>
  <c r="F137" i="10"/>
  <c r="K137" i="10" s="1"/>
  <c r="F138" i="10"/>
  <c r="K138" i="10" s="1"/>
  <c r="F139" i="10"/>
  <c r="K139" i="10" s="1"/>
  <c r="F140" i="10"/>
  <c r="K140" i="10" s="1"/>
  <c r="F141" i="10"/>
  <c r="F142" i="10"/>
  <c r="K142" i="10" s="1"/>
  <c r="F143" i="10"/>
  <c r="K143" i="10" s="1"/>
  <c r="F144" i="10"/>
  <c r="K144" i="10" s="1"/>
  <c r="F145" i="10"/>
  <c r="K145" i="10" s="1"/>
  <c r="F146" i="10"/>
  <c r="K146" i="10" s="1"/>
  <c r="F147" i="10"/>
  <c r="K147" i="10" s="1"/>
  <c r="F124" i="10"/>
  <c r="K124" i="10" s="1"/>
  <c r="K130" i="10"/>
  <c r="K141" i="10"/>
  <c r="K125" i="10"/>
  <c r="K126" i="10"/>
  <c r="G176" i="10"/>
  <c r="K176" i="10" s="1"/>
  <c r="G172" i="10"/>
  <c r="K172" i="10" s="1"/>
  <c r="G168" i="10"/>
  <c r="K168" i="10" s="1"/>
  <c r="G164" i="10"/>
  <c r="K164" i="10" s="1"/>
  <c r="G160" i="10"/>
  <c r="K160" i="10" s="1"/>
  <c r="G156" i="10"/>
  <c r="K156" i="10" s="1"/>
  <c r="K123" i="10"/>
  <c r="F39" i="10"/>
  <c r="G39" i="10" s="1"/>
  <c r="K39" i="10" s="1"/>
  <c r="F40" i="10"/>
  <c r="F41" i="10"/>
  <c r="G41" i="10" s="1"/>
  <c r="K41" i="10" s="1"/>
  <c r="F42" i="10"/>
  <c r="G42" i="10" s="1"/>
  <c r="K42" i="10" s="1"/>
  <c r="F43" i="10"/>
  <c r="G43" i="10" s="1"/>
  <c r="K43" i="10" s="1"/>
  <c r="F44" i="10"/>
  <c r="G44" i="10" s="1"/>
  <c r="K44" i="10" s="1"/>
  <c r="F45" i="10"/>
  <c r="G45" i="10" s="1"/>
  <c r="K45" i="10" s="1"/>
  <c r="F46" i="10"/>
  <c r="G46" i="10" s="1"/>
  <c r="K46" i="10" s="1"/>
  <c r="F47" i="10"/>
  <c r="G47" i="10" s="1"/>
  <c r="K47" i="10" s="1"/>
  <c r="F48" i="10"/>
  <c r="G48" i="10" s="1"/>
  <c r="K48" i="10" s="1"/>
  <c r="F49" i="10"/>
  <c r="G49" i="10" s="1"/>
  <c r="K49" i="10" s="1"/>
  <c r="F50" i="10"/>
  <c r="G50" i="10" s="1"/>
  <c r="K50" i="10" s="1"/>
  <c r="F51" i="10"/>
  <c r="G51" i="10" s="1"/>
  <c r="K51" i="10" s="1"/>
  <c r="F52" i="10"/>
  <c r="G52" i="10" s="1"/>
  <c r="K52" i="10" s="1"/>
  <c r="F53" i="10"/>
  <c r="G53" i="10" s="1"/>
  <c r="K53" i="10" s="1"/>
  <c r="F54" i="10"/>
  <c r="G54" i="10" s="1"/>
  <c r="K54" i="10" s="1"/>
  <c r="F55" i="10"/>
  <c r="G55" i="10" s="1"/>
  <c r="K55" i="10" s="1"/>
  <c r="F56" i="10"/>
  <c r="G56" i="10" s="1"/>
  <c r="K56" i="10" s="1"/>
  <c r="F57" i="10"/>
  <c r="G57" i="10" s="1"/>
  <c r="K57" i="10" s="1"/>
  <c r="F58" i="10"/>
  <c r="G58" i="10" s="1"/>
  <c r="K58" i="10" s="1"/>
  <c r="F59" i="10"/>
  <c r="G59" i="10" s="1"/>
  <c r="K59" i="10" s="1"/>
  <c r="F60" i="10"/>
  <c r="G60" i="10" s="1"/>
  <c r="K60" i="10" s="1"/>
  <c r="F61" i="10"/>
  <c r="G61" i="10" s="1"/>
  <c r="K61" i="10" s="1"/>
  <c r="F62" i="10"/>
  <c r="G62" i="10" s="1"/>
  <c r="K62" i="10" s="1"/>
  <c r="F63" i="10"/>
  <c r="G63" i="10" s="1"/>
  <c r="K63" i="10" s="1"/>
  <c r="F64" i="10"/>
  <c r="G64" i="10" s="1"/>
  <c r="K64" i="10" s="1"/>
  <c r="F65" i="10"/>
  <c r="G65" i="10" s="1"/>
  <c r="K65" i="10" s="1"/>
  <c r="F66" i="10"/>
  <c r="G66" i="10" s="1"/>
  <c r="K66" i="10" s="1"/>
  <c r="F67" i="10"/>
  <c r="G67" i="10" s="1"/>
  <c r="K67" i="10" s="1"/>
  <c r="F68" i="10"/>
  <c r="G68" i="10" s="1"/>
  <c r="K68" i="10" s="1"/>
  <c r="F69" i="10"/>
  <c r="G69" i="10" s="1"/>
  <c r="K69" i="10" s="1"/>
  <c r="F70" i="10"/>
  <c r="G70" i="10" s="1"/>
  <c r="K70" i="10" s="1"/>
  <c r="F71" i="10"/>
  <c r="G71" i="10" s="1"/>
  <c r="K71" i="10" s="1"/>
  <c r="F72" i="10"/>
  <c r="G72" i="10" s="1"/>
  <c r="K72" i="10" s="1"/>
  <c r="F73" i="10"/>
  <c r="G73" i="10" s="1"/>
  <c r="K73" i="10" s="1"/>
  <c r="F74" i="10"/>
  <c r="G74" i="10" s="1"/>
  <c r="K74" i="10" s="1"/>
  <c r="F75" i="10"/>
  <c r="G75" i="10" s="1"/>
  <c r="K75" i="10" s="1"/>
  <c r="F76" i="10"/>
  <c r="G76" i="10" s="1"/>
  <c r="K76" i="10" s="1"/>
  <c r="F77" i="10"/>
  <c r="G77" i="10" s="1"/>
  <c r="K77" i="10" s="1"/>
  <c r="F78" i="10"/>
  <c r="G78" i="10" s="1"/>
  <c r="K78" i="10" s="1"/>
  <c r="F79" i="10"/>
  <c r="G79" i="10" s="1"/>
  <c r="K79" i="10" s="1"/>
  <c r="F80" i="10"/>
  <c r="G80" i="10" s="1"/>
  <c r="K80" i="10" s="1"/>
  <c r="F81" i="10"/>
  <c r="G81" i="10" s="1"/>
  <c r="K81" i="10" s="1"/>
  <c r="F82" i="10"/>
  <c r="G82" i="10" s="1"/>
  <c r="K82" i="10" s="1"/>
  <c r="F83" i="10"/>
  <c r="G83" i="10" s="1"/>
  <c r="K83" i="10" s="1"/>
  <c r="F84" i="10"/>
  <c r="G84" i="10" s="1"/>
  <c r="K84" i="10" s="1"/>
  <c r="F85" i="10"/>
  <c r="G85" i="10" s="1"/>
  <c r="K85" i="10" s="1"/>
  <c r="F86" i="10"/>
  <c r="G86" i="10" s="1"/>
  <c r="K86" i="10" s="1"/>
  <c r="F87" i="10"/>
  <c r="G87" i="10" s="1"/>
  <c r="K87" i="10" s="1"/>
  <c r="F88" i="10"/>
  <c r="G88" i="10" s="1"/>
  <c r="K88" i="10" s="1"/>
  <c r="F89" i="10"/>
  <c r="G89" i="10" s="1"/>
  <c r="K89" i="10" s="1"/>
  <c r="F90" i="10"/>
  <c r="G90" i="10" s="1"/>
  <c r="K90" i="10" s="1"/>
  <c r="F91" i="10"/>
  <c r="G91" i="10" s="1"/>
  <c r="K91" i="10" s="1"/>
  <c r="F92" i="10"/>
  <c r="G92" i="10" s="1"/>
  <c r="K92" i="10" s="1"/>
  <c r="F93" i="10"/>
  <c r="G93" i="10" s="1"/>
  <c r="K93" i="10" s="1"/>
  <c r="F94" i="10"/>
  <c r="G94" i="10" s="1"/>
  <c r="K94" i="10" s="1"/>
  <c r="F95" i="10"/>
  <c r="G95" i="10" s="1"/>
  <c r="K95" i="10" s="1"/>
  <c r="F96" i="10"/>
  <c r="G96" i="10" s="1"/>
  <c r="K96" i="10" s="1"/>
  <c r="F97" i="10"/>
  <c r="G97" i="10" s="1"/>
  <c r="K97" i="10" s="1"/>
  <c r="F98" i="10"/>
  <c r="G98" i="10" s="1"/>
  <c r="K98" i="10" s="1"/>
  <c r="F99" i="10"/>
  <c r="G99" i="10" s="1"/>
  <c r="K99" i="10" s="1"/>
  <c r="F100" i="10"/>
  <c r="G100" i="10" s="1"/>
  <c r="K100" i="10" s="1"/>
  <c r="F101" i="10"/>
  <c r="G101" i="10" s="1"/>
  <c r="K101" i="10" s="1"/>
  <c r="F102" i="10"/>
  <c r="G102" i="10" s="1"/>
  <c r="K102" i="10" s="1"/>
  <c r="F103" i="10"/>
  <c r="G103" i="10" s="1"/>
  <c r="K103" i="10" s="1"/>
  <c r="F104" i="10"/>
  <c r="G104" i="10" s="1"/>
  <c r="K104" i="10" s="1"/>
  <c r="F105" i="10"/>
  <c r="G105" i="10" s="1"/>
  <c r="K105" i="10" s="1"/>
  <c r="F106" i="10"/>
  <c r="G106" i="10" s="1"/>
  <c r="K106" i="10" s="1"/>
  <c r="F107" i="10"/>
  <c r="G107" i="10" s="1"/>
  <c r="K107" i="10" s="1"/>
  <c r="F108" i="10"/>
  <c r="G108" i="10" s="1"/>
  <c r="K108" i="10" s="1"/>
  <c r="F109" i="10"/>
  <c r="G109" i="10" s="1"/>
  <c r="K109" i="10" s="1"/>
  <c r="F110" i="10"/>
  <c r="G110" i="10" s="1"/>
  <c r="K110" i="10" s="1"/>
  <c r="F111" i="10"/>
  <c r="G111" i="10" s="1"/>
  <c r="K111" i="10" s="1"/>
  <c r="F112" i="10"/>
  <c r="G112" i="10" s="1"/>
  <c r="K112" i="10" s="1"/>
  <c r="F113" i="10"/>
  <c r="G113" i="10" s="1"/>
  <c r="K113" i="10" s="1"/>
  <c r="F114" i="10"/>
  <c r="G114" i="10" s="1"/>
  <c r="K114" i="10" s="1"/>
  <c r="F38" i="10"/>
  <c r="G38" i="10" s="1"/>
  <c r="K38" i="10" s="1"/>
  <c r="G40" i="10"/>
  <c r="K40" i="10" s="1"/>
  <c r="G37" i="10"/>
  <c r="L13" i="10" l="1"/>
  <c r="K37" i="10"/>
  <c r="K115" i="10" s="1"/>
  <c r="L16" i="10"/>
  <c r="K259" i="10"/>
  <c r="K270" i="10" s="1"/>
  <c r="K148" i="10"/>
  <c r="K234" i="10"/>
  <c r="L20" i="10" l="1"/>
  <c r="N92" i="4" l="1"/>
  <c r="N91" i="4"/>
  <c r="L89" i="4"/>
  <c r="H89" i="4"/>
  <c r="L88" i="4"/>
  <c r="H88" i="4"/>
  <c r="L87" i="4"/>
  <c r="H87" i="4"/>
  <c r="L86" i="4"/>
  <c r="H86" i="4"/>
  <c r="L85" i="4"/>
  <c r="H85" i="4"/>
  <c r="L84" i="4"/>
  <c r="H84" i="4"/>
  <c r="L83" i="4"/>
  <c r="H83" i="4"/>
  <c r="L82" i="4"/>
  <c r="H82" i="4"/>
  <c r="L81" i="4"/>
  <c r="H81" i="4"/>
  <c r="L80" i="4"/>
  <c r="H80" i="4"/>
  <c r="M81" i="4" l="1"/>
  <c r="N81" i="4" s="1"/>
  <c r="M82" i="4"/>
  <c r="N82" i="4" s="1"/>
  <c r="M83" i="4"/>
  <c r="N83" i="4" s="1"/>
  <c r="M84" i="4"/>
  <c r="N84" i="4" s="1"/>
  <c r="M85" i="4"/>
  <c r="N85" i="4" s="1"/>
  <c r="M86" i="4"/>
  <c r="N86" i="4" s="1"/>
  <c r="M87" i="4"/>
  <c r="N87" i="4" s="1"/>
  <c r="M88" i="4"/>
  <c r="N88" i="4" s="1"/>
  <c r="M89" i="4"/>
  <c r="N89" i="4" s="1"/>
  <c r="M80" i="4"/>
  <c r="N80" i="4" s="1"/>
  <c r="H76" i="2"/>
  <c r="L76" i="2"/>
  <c r="M76" i="2" s="1"/>
  <c r="L75" i="2"/>
  <c r="M75" i="2" s="1"/>
  <c r="H75" i="2"/>
  <c r="L61" i="2"/>
  <c r="M61" i="2" s="1"/>
  <c r="L62" i="2"/>
  <c r="M62" i="2" s="1"/>
  <c r="L63" i="2"/>
  <c r="M63" i="2" s="1"/>
  <c r="L64" i="2"/>
  <c r="M64" i="2" s="1"/>
  <c r="L65" i="2"/>
  <c r="M65" i="2" s="1"/>
  <c r="H61" i="2"/>
  <c r="H62" i="2"/>
  <c r="H63" i="2"/>
  <c r="H64" i="2"/>
  <c r="H65" i="2"/>
  <c r="L60" i="2"/>
  <c r="M60" i="2" s="1"/>
  <c r="H60" i="2"/>
  <c r="F76" i="2"/>
  <c r="F75" i="2"/>
  <c r="F74" i="2"/>
  <c r="F65" i="2"/>
  <c r="F64" i="2"/>
  <c r="F63" i="2"/>
  <c r="F62" i="2"/>
  <c r="F61" i="2"/>
  <c r="F60" i="2"/>
  <c r="M59" i="2"/>
  <c r="D75" i="2"/>
  <c r="D76" i="2"/>
  <c r="D74" i="2"/>
  <c r="D62" i="2"/>
  <c r="D60" i="2"/>
  <c r="D61" i="2"/>
  <c r="D63" i="2"/>
  <c r="D64" i="2"/>
  <c r="D65" i="2"/>
  <c r="D59" i="2"/>
  <c r="E30" i="2"/>
  <c r="M74" i="2"/>
  <c r="J37" i="2" l="1"/>
  <c r="L37" i="2" s="1"/>
  <c r="M80" i="2"/>
  <c r="M78" i="2"/>
  <c r="M67" i="2"/>
  <c r="M69" i="2"/>
  <c r="M79" i="2"/>
  <c r="M68" i="2"/>
  <c r="I74" i="2"/>
  <c r="I65" i="2"/>
  <c r="N90" i="4"/>
  <c r="I63" i="2"/>
  <c r="I64" i="2"/>
  <c r="I76" i="2"/>
  <c r="I61" i="2"/>
  <c r="I75" i="2"/>
  <c r="I62" i="2"/>
  <c r="I60" i="2"/>
  <c r="G33" i="1"/>
  <c r="H33" i="1" s="1"/>
  <c r="I33" i="1" s="1"/>
  <c r="G34" i="1"/>
  <c r="H34" i="1" s="1"/>
  <c r="I34" i="1" s="1"/>
  <c r="G31" i="1"/>
  <c r="H31" i="1" s="1"/>
  <c r="I31" i="1" s="1"/>
  <c r="G32" i="1"/>
  <c r="H32" i="1" s="1"/>
  <c r="I32" i="1" s="1"/>
  <c r="G35" i="1"/>
  <c r="H35" i="1" s="1"/>
  <c r="I35" i="1" s="1"/>
  <c r="G36" i="1"/>
  <c r="H36" i="1" s="1"/>
  <c r="I36" i="1" s="1"/>
  <c r="G37" i="1"/>
  <c r="H37" i="1" s="1"/>
  <c r="I37" i="1" s="1"/>
  <c r="G30" i="1"/>
  <c r="H30" i="1" s="1"/>
  <c r="I30" i="1" s="1"/>
  <c r="I11" i="1"/>
  <c r="H29" i="1"/>
  <c r="I29" i="1" s="1"/>
  <c r="M77" i="2" l="1"/>
  <c r="M66" i="2"/>
  <c r="I38" i="1"/>
  <c r="K65" i="4"/>
  <c r="L65" i="4" s="1"/>
  <c r="G65" i="4"/>
  <c r="H65" i="4" s="1"/>
  <c r="K66" i="4"/>
  <c r="L66" i="4" s="1"/>
  <c r="G66" i="4"/>
  <c r="H66" i="4" s="1"/>
  <c r="K67" i="4"/>
  <c r="L67" i="4" s="1"/>
  <c r="G67" i="4"/>
  <c r="H67" i="4" s="1"/>
  <c r="N139" i="2"/>
  <c r="L16" i="2" s="1"/>
  <c r="N138" i="2"/>
  <c r="L15" i="2" s="1"/>
  <c r="L136" i="2"/>
  <c r="H136" i="2"/>
  <c r="L135" i="2"/>
  <c r="H135" i="2"/>
  <c r="L134" i="2"/>
  <c r="H134" i="2"/>
  <c r="L133" i="2"/>
  <c r="H133" i="2"/>
  <c r="L132" i="2"/>
  <c r="H132" i="2"/>
  <c r="L131" i="2"/>
  <c r="H131" i="2"/>
  <c r="L130" i="2"/>
  <c r="H130" i="2"/>
  <c r="L129" i="2"/>
  <c r="H129" i="2"/>
  <c r="E124" i="2"/>
  <c r="M66" i="4" l="1"/>
  <c r="N66" i="4" s="1"/>
  <c r="M65" i="4"/>
  <c r="N65" i="4" s="1"/>
  <c r="M67" i="4"/>
  <c r="N67" i="4" s="1"/>
  <c r="M129" i="2"/>
  <c r="N129" i="2" s="1"/>
  <c r="M136" i="2"/>
  <c r="N136" i="2" s="1"/>
  <c r="M135" i="2"/>
  <c r="N135" i="2" s="1"/>
  <c r="M134" i="2"/>
  <c r="N134" i="2" s="1"/>
  <c r="M133" i="2"/>
  <c r="N133" i="2" s="1"/>
  <c r="M132" i="2"/>
  <c r="N132" i="2" s="1"/>
  <c r="M131" i="2"/>
  <c r="N131" i="2" s="1"/>
  <c r="M130" i="2"/>
  <c r="N130" i="2" s="1"/>
  <c r="G19" i="6"/>
  <c r="H261" i="6"/>
  <c r="J261" i="6" s="1"/>
  <c r="H259" i="6"/>
  <c r="J259" i="6" s="1"/>
  <c r="H256" i="6"/>
  <c r="J256" i="6" s="1"/>
  <c r="H257" i="6"/>
  <c r="J257" i="6" s="1"/>
  <c r="H255" i="6"/>
  <c r="J255" i="6" s="1"/>
  <c r="H254" i="6"/>
  <c r="J254" i="6" s="1"/>
  <c r="H253" i="6"/>
  <c r="J253" i="6" s="1"/>
  <c r="H252" i="6"/>
  <c r="J252" i="6" s="1"/>
  <c r="H251" i="6"/>
  <c r="J251" i="6" s="1"/>
  <c r="H250" i="6"/>
  <c r="J250" i="6" s="1"/>
  <c r="H247" i="6"/>
  <c r="J247" i="6" s="1"/>
  <c r="H248" i="6"/>
  <c r="J248" i="6" s="1"/>
  <c r="H249" i="6"/>
  <c r="J249" i="6" s="1"/>
  <c r="H246" i="6"/>
  <c r="J246" i="6" s="1"/>
  <c r="H245" i="6"/>
  <c r="J245" i="6" s="1"/>
  <c r="H181" i="6"/>
  <c r="J181" i="6" s="1"/>
  <c r="H180" i="6"/>
  <c r="J180" i="6" s="1"/>
  <c r="H179" i="6"/>
  <c r="J179" i="6" s="1"/>
  <c r="H178" i="6"/>
  <c r="J178" i="6" s="1"/>
  <c r="H176" i="6"/>
  <c r="J176" i="6" s="1"/>
  <c r="H177" i="6"/>
  <c r="J177" i="6" s="1"/>
  <c r="H174" i="6"/>
  <c r="J174" i="6" s="1"/>
  <c r="H262" i="6"/>
  <c r="J262" i="6" s="1"/>
  <c r="H260" i="6"/>
  <c r="J260" i="6" s="1"/>
  <c r="H258" i="6"/>
  <c r="J258" i="6" s="1"/>
  <c r="H175" i="6"/>
  <c r="J175" i="6" s="1"/>
  <c r="H173" i="6"/>
  <c r="J173" i="6" s="1"/>
  <c r="L173" i="6" s="1"/>
  <c r="H120" i="6"/>
  <c r="J120" i="6" s="1"/>
  <c r="H119" i="6"/>
  <c r="J119" i="6" s="1"/>
  <c r="H118" i="6"/>
  <c r="J118" i="6" s="1"/>
  <c r="H117" i="6"/>
  <c r="J117" i="6" s="1"/>
  <c r="H114" i="6"/>
  <c r="J114" i="6" s="1"/>
  <c r="H115" i="6"/>
  <c r="J115" i="6" s="1"/>
  <c r="H116" i="6"/>
  <c r="J116" i="6" s="1"/>
  <c r="H113" i="6"/>
  <c r="J113" i="6" s="1"/>
  <c r="H112" i="6"/>
  <c r="J112" i="6" s="1"/>
  <c r="H111" i="6"/>
  <c r="J111" i="6" s="1"/>
  <c r="H110" i="6"/>
  <c r="J110" i="6" s="1"/>
  <c r="H109" i="6"/>
  <c r="J109" i="6" s="1"/>
  <c r="H108" i="6"/>
  <c r="J108" i="6" s="1"/>
  <c r="H105" i="6"/>
  <c r="J105" i="6" s="1"/>
  <c r="H106" i="6"/>
  <c r="J106" i="6" s="1"/>
  <c r="H107" i="6"/>
  <c r="J107" i="6" s="1"/>
  <c r="H104" i="6"/>
  <c r="J104" i="6" s="1"/>
  <c r="H103" i="6"/>
  <c r="H102" i="6"/>
  <c r="J102" i="6" s="1"/>
  <c r="H101" i="6"/>
  <c r="J101" i="6" s="1"/>
  <c r="H100" i="6"/>
  <c r="J100" i="6" s="1"/>
  <c r="H99" i="6"/>
  <c r="J99" i="6" s="1"/>
  <c r="H96" i="6"/>
  <c r="J96" i="6" s="1"/>
  <c r="H97" i="6"/>
  <c r="J97" i="6" s="1"/>
  <c r="H98" i="6"/>
  <c r="J98" i="6" s="1"/>
  <c r="H95" i="6"/>
  <c r="H94" i="6"/>
  <c r="H93" i="6"/>
  <c r="H92" i="6"/>
  <c r="J92" i="6" s="1"/>
  <c r="H91" i="6"/>
  <c r="J91" i="6" s="1"/>
  <c r="H90" i="6"/>
  <c r="J90" i="6" s="1"/>
  <c r="H87" i="6"/>
  <c r="H88" i="6"/>
  <c r="J88" i="6" s="1"/>
  <c r="H89" i="6"/>
  <c r="J89" i="6" s="1"/>
  <c r="H86" i="6"/>
  <c r="H85" i="6"/>
  <c r="H138" i="6"/>
  <c r="J138" i="6" s="1"/>
  <c r="H137" i="6"/>
  <c r="J137" i="6" s="1"/>
  <c r="H136" i="6"/>
  <c r="J136" i="6" s="1"/>
  <c r="H135" i="6"/>
  <c r="J135" i="6" s="1"/>
  <c r="H132" i="6"/>
  <c r="J132" i="6" s="1"/>
  <c r="H133" i="6"/>
  <c r="J133" i="6" s="1"/>
  <c r="H134" i="6"/>
  <c r="J134" i="6" s="1"/>
  <c r="H131" i="6"/>
  <c r="J131" i="6" s="1"/>
  <c r="H130" i="6"/>
  <c r="J130" i="6" s="1"/>
  <c r="H147" i="6"/>
  <c r="J147" i="6" s="1"/>
  <c r="H146" i="6"/>
  <c r="J146" i="6" s="1"/>
  <c r="H145" i="6"/>
  <c r="J145" i="6" s="1"/>
  <c r="H144" i="6"/>
  <c r="J144" i="6" s="1"/>
  <c r="H141" i="6"/>
  <c r="J141" i="6" s="1"/>
  <c r="H142" i="6"/>
  <c r="J142" i="6" s="1"/>
  <c r="H143" i="6"/>
  <c r="J143" i="6" s="1"/>
  <c r="H140" i="6"/>
  <c r="J140" i="6" s="1"/>
  <c r="H139" i="6"/>
  <c r="J139" i="6" s="1"/>
  <c r="H165" i="6"/>
  <c r="J165" i="6" s="1"/>
  <c r="H164" i="6"/>
  <c r="J164" i="6" s="1"/>
  <c r="H163" i="6"/>
  <c r="J163" i="6" s="1"/>
  <c r="H162" i="6"/>
  <c r="J162" i="6" s="1"/>
  <c r="H160" i="6"/>
  <c r="J160" i="6" s="1"/>
  <c r="H161" i="6"/>
  <c r="J161" i="6" s="1"/>
  <c r="H159" i="6"/>
  <c r="J159" i="6" s="1"/>
  <c r="H158" i="6"/>
  <c r="J158" i="6" s="1"/>
  <c r="H157" i="6"/>
  <c r="J157" i="6" s="1"/>
  <c r="H169" i="6"/>
  <c r="J169" i="6" s="1"/>
  <c r="H57" i="6"/>
  <c r="J57" i="6" s="1"/>
  <c r="H56" i="6"/>
  <c r="J56" i="6" s="1"/>
  <c r="H55" i="6"/>
  <c r="J55" i="6" s="1"/>
  <c r="H54" i="6"/>
  <c r="J54" i="6" s="1"/>
  <c r="H51" i="6"/>
  <c r="H52" i="6"/>
  <c r="H53" i="6"/>
  <c r="J53" i="6" s="1"/>
  <c r="H50" i="6"/>
  <c r="H49" i="6"/>
  <c r="K120" i="6"/>
  <c r="K119" i="6"/>
  <c r="K118" i="6"/>
  <c r="K117" i="6"/>
  <c r="K116" i="6"/>
  <c r="K115" i="6"/>
  <c r="K114" i="6"/>
  <c r="K113" i="6"/>
  <c r="K112" i="6"/>
  <c r="K138" i="6"/>
  <c r="K137" i="6"/>
  <c r="K136" i="6"/>
  <c r="K135" i="6"/>
  <c r="K134" i="6"/>
  <c r="K133" i="6"/>
  <c r="K132" i="6"/>
  <c r="K131" i="6"/>
  <c r="K130" i="6"/>
  <c r="K147" i="6"/>
  <c r="K146" i="6"/>
  <c r="K145" i="6"/>
  <c r="K144" i="6"/>
  <c r="K143" i="6"/>
  <c r="K142" i="6"/>
  <c r="K141" i="6"/>
  <c r="K140" i="6"/>
  <c r="K139" i="6"/>
  <c r="K165" i="6"/>
  <c r="K164" i="6"/>
  <c r="K163" i="6"/>
  <c r="K162" i="6"/>
  <c r="K161" i="6"/>
  <c r="K160" i="6"/>
  <c r="K159" i="6"/>
  <c r="K158" i="6"/>
  <c r="K157" i="6"/>
  <c r="K169" i="6"/>
  <c r="K96" i="6"/>
  <c r="K97" i="6"/>
  <c r="K98" i="6"/>
  <c r="K99" i="6"/>
  <c r="K100" i="6"/>
  <c r="K101" i="6"/>
  <c r="K102" i="6"/>
  <c r="K104" i="6"/>
  <c r="K105" i="6"/>
  <c r="K106" i="6"/>
  <c r="K107" i="6"/>
  <c r="K108" i="6"/>
  <c r="K109" i="6"/>
  <c r="K110" i="6"/>
  <c r="K111" i="6"/>
  <c r="K88" i="6"/>
  <c r="K89" i="6"/>
  <c r="K90" i="6"/>
  <c r="K91" i="6"/>
  <c r="K92" i="6"/>
  <c r="K53" i="6"/>
  <c r="K54" i="6"/>
  <c r="K55" i="6"/>
  <c r="K56" i="6"/>
  <c r="K57" i="6"/>
  <c r="N107" i="2"/>
  <c r="L14" i="2" s="1"/>
  <c r="N106" i="2"/>
  <c r="L13" i="2" s="1"/>
  <c r="L104" i="2"/>
  <c r="H104" i="2"/>
  <c r="L103" i="2"/>
  <c r="H103" i="2"/>
  <c r="L102" i="2"/>
  <c r="H102" i="2"/>
  <c r="L101" i="2"/>
  <c r="H101" i="2"/>
  <c r="L100" i="2"/>
  <c r="H100" i="2"/>
  <c r="L99" i="2"/>
  <c r="H99" i="2"/>
  <c r="L98" i="2"/>
  <c r="H98" i="2"/>
  <c r="L97" i="2"/>
  <c r="H97" i="2"/>
  <c r="N137" i="2" l="1"/>
  <c r="L177" i="6"/>
  <c r="L248" i="6"/>
  <c r="L176" i="6"/>
  <c r="L178" i="6"/>
  <c r="L249" i="6"/>
  <c r="L247" i="6"/>
  <c r="L258" i="6"/>
  <c r="L260" i="6"/>
  <c r="L262" i="6"/>
  <c r="L181" i="6"/>
  <c r="L252" i="6"/>
  <c r="L254" i="6"/>
  <c r="L256" i="6"/>
  <c r="L174" i="6"/>
  <c r="L180" i="6"/>
  <c r="L245" i="6"/>
  <c r="L251" i="6"/>
  <c r="L253" i="6"/>
  <c r="L255" i="6"/>
  <c r="L175" i="6"/>
  <c r="L179" i="6"/>
  <c r="L246" i="6"/>
  <c r="L250" i="6"/>
  <c r="L257" i="6"/>
  <c r="L259" i="6"/>
  <c r="L261" i="6"/>
  <c r="L113" i="6"/>
  <c r="L115" i="6"/>
  <c r="L117" i="6"/>
  <c r="L119" i="6"/>
  <c r="L131" i="6"/>
  <c r="L133" i="6"/>
  <c r="L135" i="6"/>
  <c r="L137" i="6"/>
  <c r="L112" i="6"/>
  <c r="L114" i="6"/>
  <c r="L116" i="6"/>
  <c r="L118" i="6"/>
  <c r="L120" i="6"/>
  <c r="L140" i="6"/>
  <c r="L142" i="6"/>
  <c r="L144" i="6"/>
  <c r="L146" i="6"/>
  <c r="L130" i="6"/>
  <c r="L132" i="6"/>
  <c r="L134" i="6"/>
  <c r="L136" i="6"/>
  <c r="L138" i="6"/>
  <c r="L158" i="6"/>
  <c r="L160" i="6"/>
  <c r="L162" i="6"/>
  <c r="L164" i="6"/>
  <c r="L139" i="6"/>
  <c r="L141" i="6"/>
  <c r="L143" i="6"/>
  <c r="L145" i="6"/>
  <c r="L147" i="6"/>
  <c r="L157" i="6"/>
  <c r="L159" i="6"/>
  <c r="L161" i="6"/>
  <c r="L163" i="6"/>
  <c r="L165" i="6"/>
  <c r="L169" i="6"/>
  <c r="L101" i="6"/>
  <c r="L99" i="6"/>
  <c r="L97" i="6"/>
  <c r="L111" i="6"/>
  <c r="L109" i="6"/>
  <c r="L107" i="6"/>
  <c r="L105" i="6"/>
  <c r="L96" i="6"/>
  <c r="L98" i="6"/>
  <c r="L100" i="6"/>
  <c r="L102" i="6"/>
  <c r="L104" i="6"/>
  <c r="L106" i="6"/>
  <c r="L108" i="6"/>
  <c r="L110" i="6"/>
  <c r="L54" i="6"/>
  <c r="L92" i="6"/>
  <c r="L90" i="6"/>
  <c r="L88" i="6"/>
  <c r="L89" i="6"/>
  <c r="L56" i="6"/>
  <c r="L91" i="6"/>
  <c r="L57" i="6"/>
  <c r="L55" i="6"/>
  <c r="L53" i="6"/>
  <c r="M97" i="2"/>
  <c r="N97" i="2" s="1"/>
  <c r="M98" i="2"/>
  <c r="N98" i="2" s="1"/>
  <c r="M99" i="2"/>
  <c r="N99" i="2" s="1"/>
  <c r="M100" i="2"/>
  <c r="N100" i="2" s="1"/>
  <c r="M101" i="2"/>
  <c r="N101" i="2" s="1"/>
  <c r="M102" i="2"/>
  <c r="N102" i="2" s="1"/>
  <c r="M103" i="2"/>
  <c r="N103" i="2" s="1"/>
  <c r="M104" i="2"/>
  <c r="N104" i="2" s="1"/>
  <c r="N75" i="4"/>
  <c r="L15" i="4" s="1"/>
  <c r="N105" i="2" l="1"/>
  <c r="M13" i="2" s="1"/>
  <c r="K51" i="6" l="1"/>
  <c r="K52" i="6"/>
  <c r="K85" i="6"/>
  <c r="K86" i="6"/>
  <c r="K87" i="6"/>
  <c r="K93" i="6"/>
  <c r="K94" i="6"/>
  <c r="K95" i="6"/>
  <c r="K103" i="6"/>
  <c r="K50" i="6"/>
  <c r="J41" i="6"/>
  <c r="J42" i="6"/>
  <c r="J40" i="6"/>
  <c r="J30" i="6"/>
  <c r="J31" i="6"/>
  <c r="J32" i="6"/>
  <c r="J33" i="6"/>
  <c r="J34" i="6"/>
  <c r="J35" i="6"/>
  <c r="J29" i="6"/>
  <c r="N121" i="4" l="1"/>
  <c r="N120" i="4"/>
  <c r="J121" i="4"/>
  <c r="K121" i="4" s="1"/>
  <c r="J120" i="4"/>
  <c r="K120" i="4" s="1"/>
  <c r="J11" i="1" l="1"/>
  <c r="J103" i="6"/>
  <c r="J95" i="6"/>
  <c r="J94" i="6"/>
  <c r="J93" i="6"/>
  <c r="J87" i="6"/>
  <c r="J86" i="6"/>
  <c r="J85" i="6"/>
  <c r="J52" i="6"/>
  <c r="J51" i="6"/>
  <c r="J50" i="6"/>
  <c r="J49" i="6"/>
  <c r="L49" i="6" s="1"/>
  <c r="G42" i="6"/>
  <c r="I42" i="6" s="1"/>
  <c r="G41" i="6"/>
  <c r="I41" i="6" s="1"/>
  <c r="G40" i="6"/>
  <c r="I40" i="6" s="1"/>
  <c r="G39" i="6"/>
  <c r="I39" i="6" s="1"/>
  <c r="K39" i="6" s="1"/>
  <c r="L39" i="6" s="1"/>
  <c r="I35" i="6"/>
  <c r="I34" i="6"/>
  <c r="I33" i="6"/>
  <c r="I32" i="6"/>
  <c r="I31" i="6"/>
  <c r="I30" i="6"/>
  <c r="I29" i="6"/>
  <c r="K25" i="6"/>
  <c r="L25" i="6" s="1"/>
  <c r="K29" i="6" l="1"/>
  <c r="L29" i="6" s="1"/>
  <c r="K31" i="6"/>
  <c r="L31" i="6" s="1"/>
  <c r="K32" i="6"/>
  <c r="L32" i="6" s="1"/>
  <c r="K33" i="6"/>
  <c r="L33" i="6" s="1"/>
  <c r="K35" i="6"/>
  <c r="L35" i="6" s="1"/>
  <c r="K40" i="6"/>
  <c r="L40" i="6" s="1"/>
  <c r="K41" i="6"/>
  <c r="L41" i="6" s="1"/>
  <c r="K42" i="6"/>
  <c r="L42" i="6" s="1"/>
  <c r="K30" i="6"/>
  <c r="L30" i="6" s="1"/>
  <c r="K34" i="6"/>
  <c r="L34" i="6" s="1"/>
  <c r="L103" i="6" l="1"/>
  <c r="L95" i="6"/>
  <c r="L94" i="6"/>
  <c r="L93" i="6"/>
  <c r="L87" i="6"/>
  <c r="L86" i="6"/>
  <c r="L85" i="6"/>
  <c r="L52" i="6"/>
  <c r="L51" i="6"/>
  <c r="L50" i="6"/>
  <c r="M97" i="3" l="1"/>
  <c r="I97" i="3"/>
  <c r="N74" i="4" l="1"/>
  <c r="L14" i="4" s="1"/>
  <c r="N42" i="3"/>
  <c r="K54" i="2"/>
  <c r="K45" i="2"/>
  <c r="L11" i="2" l="1"/>
  <c r="N97" i="3"/>
  <c r="N96" i="3"/>
  <c r="K96" i="3"/>
  <c r="O120" i="4"/>
  <c r="O121" i="4"/>
  <c r="F119" i="4"/>
  <c r="L119" i="4" s="1"/>
  <c r="L109" i="4"/>
  <c r="K119" i="4"/>
  <c r="G96" i="3" l="1"/>
  <c r="H119" i="4"/>
  <c r="J96" i="3" l="1"/>
  <c r="O96" i="3" s="1"/>
  <c r="P119" i="4"/>
  <c r="E97" i="3"/>
  <c r="F121" i="4"/>
  <c r="F120" i="4"/>
  <c r="K110" i="4"/>
  <c r="G110" i="4"/>
  <c r="I110" i="4" s="1"/>
  <c r="G109" i="4"/>
  <c r="I109" i="4" s="1"/>
  <c r="L156" i="2"/>
  <c r="L157" i="2"/>
  <c r="L158" i="2"/>
  <c r="H155" i="2"/>
  <c r="J155" i="2" s="1"/>
  <c r="H156" i="2"/>
  <c r="J156" i="2" s="1"/>
  <c r="H157" i="2"/>
  <c r="J157" i="2" s="1"/>
  <c r="H158" i="2"/>
  <c r="J158" i="2" s="1"/>
  <c r="N160" i="2" l="1"/>
  <c r="L17" i="2" s="1"/>
  <c r="M112" i="4"/>
  <c r="N154" i="2"/>
  <c r="N157" i="2"/>
  <c r="G97" i="3"/>
  <c r="K97" i="3"/>
  <c r="O100" i="3" s="1"/>
  <c r="L17" i="3" s="1"/>
  <c r="N158" i="2"/>
  <c r="N156" i="2"/>
  <c r="H120" i="4"/>
  <c r="L120" i="4"/>
  <c r="H121" i="4"/>
  <c r="L121" i="4"/>
  <c r="M109" i="4"/>
  <c r="L110" i="4"/>
  <c r="M110" i="4" s="1"/>
  <c r="K86" i="3"/>
  <c r="L86" i="3" s="1"/>
  <c r="K87" i="3"/>
  <c r="L87" i="3" s="1"/>
  <c r="K88" i="3"/>
  <c r="L88" i="3" s="1"/>
  <c r="K85" i="3"/>
  <c r="L85" i="3" s="1"/>
  <c r="K40" i="3"/>
  <c r="G40" i="3"/>
  <c r="G88" i="3"/>
  <c r="I88" i="3" s="1"/>
  <c r="G87" i="3"/>
  <c r="I87" i="3" s="1"/>
  <c r="G86" i="3"/>
  <c r="I86" i="3" s="1"/>
  <c r="G85" i="3"/>
  <c r="I85" i="3" s="1"/>
  <c r="L84" i="3"/>
  <c r="G84" i="3"/>
  <c r="I84" i="3" s="1"/>
  <c r="M156" i="2"/>
  <c r="M157" i="2"/>
  <c r="M158" i="2"/>
  <c r="M154" i="2"/>
  <c r="M90" i="3" l="1"/>
  <c r="J97" i="3"/>
  <c r="O97" i="3" s="1"/>
  <c r="O98" i="3" s="1"/>
  <c r="O99" i="3"/>
  <c r="M86" i="3"/>
  <c r="P124" i="4"/>
  <c r="L17" i="4" s="1"/>
  <c r="P123" i="4"/>
  <c r="L16" i="4" s="1"/>
  <c r="M111" i="4"/>
  <c r="M155" i="2"/>
  <c r="N155" i="2"/>
  <c r="N159" i="2" s="1"/>
  <c r="M17" i="2" s="1"/>
  <c r="M87" i="3"/>
  <c r="P121" i="4"/>
  <c r="P120" i="4"/>
  <c r="M88" i="3"/>
  <c r="M84" i="3"/>
  <c r="M85" i="3"/>
  <c r="H51" i="2"/>
  <c r="H52" i="2"/>
  <c r="K68" i="4"/>
  <c r="L68" i="4" s="1"/>
  <c r="K69" i="4"/>
  <c r="L69" i="4" s="1"/>
  <c r="K70" i="4"/>
  <c r="L70" i="4" s="1"/>
  <c r="K71" i="4"/>
  <c r="L71" i="4" s="1"/>
  <c r="K72" i="4"/>
  <c r="L72" i="4" s="1"/>
  <c r="K64" i="4"/>
  <c r="L64" i="4" s="1"/>
  <c r="G68" i="4"/>
  <c r="H68" i="4" s="1"/>
  <c r="H69" i="4"/>
  <c r="G70" i="4"/>
  <c r="H70" i="4" s="1"/>
  <c r="G71" i="4"/>
  <c r="H71" i="4" s="1"/>
  <c r="G72" i="4"/>
  <c r="H72" i="4" s="1"/>
  <c r="G64" i="4"/>
  <c r="H64" i="4" s="1"/>
  <c r="L63" i="4"/>
  <c r="H63" i="4"/>
  <c r="L16" i="3" l="1"/>
  <c r="P122" i="4"/>
  <c r="M16" i="4" s="1"/>
  <c r="M89" i="3"/>
  <c r="M16" i="3" s="1"/>
  <c r="M63" i="4"/>
  <c r="N63" i="4" s="1"/>
  <c r="M64" i="4"/>
  <c r="N64" i="4" s="1"/>
  <c r="M68" i="4"/>
  <c r="N68" i="4" s="1"/>
  <c r="M71" i="4"/>
  <c r="N71" i="4" s="1"/>
  <c r="M69" i="4"/>
  <c r="N69" i="4" s="1"/>
  <c r="M72" i="4"/>
  <c r="N72" i="4" s="1"/>
  <c r="M70" i="4"/>
  <c r="N70" i="4" s="1"/>
  <c r="N73" i="4" l="1"/>
  <c r="M14" i="4" s="1"/>
  <c r="E31" i="3" l="1"/>
  <c r="L12" i="3"/>
  <c r="L40" i="3"/>
  <c r="L39" i="3"/>
  <c r="H40" i="3"/>
  <c r="H39" i="3"/>
  <c r="M18" i="4" l="1"/>
  <c r="M39" i="3"/>
  <c r="N39" i="3" s="1"/>
  <c r="M40" i="3"/>
  <c r="N40" i="3" s="1"/>
  <c r="I51" i="2"/>
  <c r="I52" i="2"/>
  <c r="I50" i="2"/>
  <c r="H39" i="2"/>
  <c r="I39" i="2" s="1"/>
  <c r="K39" i="2" s="1"/>
  <c r="H40" i="2"/>
  <c r="I40" i="2" s="1"/>
  <c r="K40" i="2" s="1"/>
  <c r="H41" i="2"/>
  <c r="I41" i="2" s="1"/>
  <c r="K41" i="2" s="1"/>
  <c r="H42" i="2"/>
  <c r="I42" i="2" s="1"/>
  <c r="K42" i="2" s="1"/>
  <c r="H43" i="2"/>
  <c r="I43" i="2" s="1"/>
  <c r="K43" i="2" s="1"/>
  <c r="H38" i="2"/>
  <c r="I38" i="2" s="1"/>
  <c r="K38" i="2" s="1"/>
  <c r="J52" i="2" l="1"/>
  <c r="L52" i="2" s="1"/>
  <c r="K52" i="2"/>
  <c r="J50" i="2"/>
  <c r="L50" i="2" s="1"/>
  <c r="K50" i="2"/>
  <c r="J51" i="2"/>
  <c r="L51" i="2" s="1"/>
  <c r="K51" i="2"/>
  <c r="N41" i="3"/>
  <c r="M12" i="3" s="1"/>
  <c r="L12" i="2"/>
  <c r="J38" i="2"/>
  <c r="L38" i="2" s="1"/>
  <c r="J39" i="2"/>
  <c r="L39" i="2" s="1"/>
  <c r="J40" i="2"/>
  <c r="L40" i="2" s="1"/>
  <c r="J41" i="2"/>
  <c r="L41" i="2" s="1"/>
  <c r="J42" i="2"/>
  <c r="L42" i="2" s="1"/>
  <c r="J43" i="2"/>
  <c r="L43" i="2" s="1"/>
  <c r="L53" i="2" l="1"/>
  <c r="L44" i="2"/>
  <c r="M18" i="3"/>
  <c r="M15" i="2"/>
  <c r="K53" i="2"/>
  <c r="M12" i="2" l="1"/>
  <c r="K44" i="2"/>
  <c r="M11" i="2" s="1"/>
  <c r="M18" i="2" l="1"/>
  <c r="J13" i="1" l="1"/>
</calcChain>
</file>

<file path=xl/sharedStrings.xml><?xml version="1.0" encoding="utf-8"?>
<sst xmlns="http://schemas.openxmlformats.org/spreadsheetml/2006/main" count="1316" uniqueCount="270">
  <si>
    <t>Z</t>
  </si>
  <si>
    <t>CS</t>
  </si>
  <si>
    <t>R</t>
  </si>
  <si>
    <t>CF</t>
  </si>
  <si>
    <t>SUMA</t>
  </si>
  <si>
    <t>Z (kg)</t>
  </si>
  <si>
    <t>CS (zł/kg)</t>
  </si>
  <si>
    <t>100x50</t>
  </si>
  <si>
    <t>200x50</t>
  </si>
  <si>
    <t>300x50</t>
  </si>
  <si>
    <t>400x50</t>
  </si>
  <si>
    <t>500x50</t>
  </si>
  <si>
    <t>600x50</t>
  </si>
  <si>
    <t>ALFA FIREFOAM PREMIUM</t>
  </si>
  <si>
    <t>Z (m2)</t>
  </si>
  <si>
    <t>CS (m2)</t>
  </si>
  <si>
    <t>ILOŚĆ PIANY</t>
  </si>
  <si>
    <t>ILOŚĆ WEŁNY [KG]</t>
  </si>
  <si>
    <t>ALFA FIREFOAM PREMIUM 750ml</t>
  </si>
  <si>
    <t xml:space="preserve">  </t>
  </si>
  <si>
    <t>25 (33,7)</t>
  </si>
  <si>
    <t>32 (42,4)</t>
  </si>
  <si>
    <t>40 (48,3)</t>
  </si>
  <si>
    <t>50 (60,3)</t>
  </si>
  <si>
    <t>65 (76,1)</t>
  </si>
  <si>
    <t>80 (88,9)</t>
  </si>
  <si>
    <t>125 (139,7)</t>
  </si>
  <si>
    <t>150 (159)</t>
  </si>
  <si>
    <t>200 (219,1)</t>
  </si>
  <si>
    <t>100 (108)</t>
  </si>
  <si>
    <t>RURY NIEPALNE - PŁYTY MALOWANE Z JEDNEJ STRONY 2 x 1-S</t>
  </si>
  <si>
    <t>INTU FR WRAP L 60mm</t>
  </si>
  <si>
    <t>INTU FR WRAP L 100mm</t>
  </si>
  <si>
    <t>ALFAFOAM FR</t>
  </si>
  <si>
    <t>KORYTA KABLOWE + KABLE DO Ø21mm, W WIĄZCE DO Ø50mm , DWIE PŁYTY MALOWANE JEDNOSTRONNIE USZCZELNIENIE NA 10cm</t>
  </si>
  <si>
    <t>INTU FR WRAP</t>
  </si>
  <si>
    <t>INTU FR COLLAR</t>
  </si>
  <si>
    <t>INTU FR EJ SEAL</t>
  </si>
  <si>
    <t>≤ 10</t>
  </si>
  <si>
    <t>≤ 20</t>
  </si>
  <si>
    <t>≤ 30</t>
  </si>
  <si>
    <t>≤ 40</t>
  </si>
  <si>
    <t>≤ 50</t>
  </si>
  <si>
    <t>≤ 60</t>
  </si>
  <si>
    <t>≤ 70</t>
  </si>
  <si>
    <t>≤ 90</t>
  </si>
  <si>
    <t>≤ 100</t>
  </si>
  <si>
    <t>≤ 80</t>
  </si>
  <si>
    <t>R40A</t>
  </si>
  <si>
    <t>R40B</t>
  </si>
  <si>
    <t>R80</t>
  </si>
  <si>
    <t>C50</t>
  </si>
  <si>
    <t>C80</t>
  </si>
  <si>
    <t>INTU FR MASTIC 310ml</t>
  </si>
  <si>
    <t>INTU FR MASTIC</t>
  </si>
  <si>
    <t>INTU FR MASTIC 310 ml</t>
  </si>
  <si>
    <t>INTU FR COAT I</t>
  </si>
  <si>
    <t>INTU FR COAT I
INTU FR COAT A</t>
  </si>
  <si>
    <t>INTU FR COAT A</t>
  </si>
  <si>
    <t>INTU FR COAT A + INTU FR COAT I</t>
  </si>
  <si>
    <t xml:space="preserve">INTU FR GRILLE - okrągłe </t>
  </si>
  <si>
    <t>INTU FR MASTIC (310ml)*</t>
  </si>
  <si>
    <t>INTU AIR TRANSFER PLATE</t>
  </si>
  <si>
    <t>VERSION</t>
  </si>
  <si>
    <t xml:space="preserve">FLAMMABLE AND NON-FLAMMABLE PIPES IN FLAMMABLE INSULATIONS - rigid wall/floor
- intumescent pipe roll INTU FR WRAP L </t>
  </si>
  <si>
    <t xml:space="preserve">FLAMMABLE AND NON-FLAMMABLE PIPES IN FLAMMABLE INSULATIONS - flexible wall
- intumescent pipe roll INTU FR WRAP L </t>
  </si>
  <si>
    <t>NON-FLAMMABLE PIPES IN FLAMMABLE INSULATIONS
- intumescent pipe collar roll INTU FR COLLAR L</t>
  </si>
  <si>
    <r>
      <t xml:space="preserve">FLAMMABLE PIPES
</t>
    </r>
    <r>
      <rPr>
        <b/>
        <sz val="14"/>
        <color theme="0"/>
        <rFont val="Century Gothic"/>
        <family val="2"/>
        <charset val="238"/>
      </rPr>
      <t>- intumescent pipe wrap INTU FR WRAP
- intumescent pipe collar INTU FR COLLAR</t>
    </r>
  </si>
  <si>
    <r>
      <rPr>
        <b/>
        <sz val="18"/>
        <color theme="0"/>
        <rFont val="Century Gothic"/>
        <family val="2"/>
        <charset val="238"/>
      </rPr>
      <t>NON-FLAMMABLE PIPES</t>
    </r>
    <r>
      <rPr>
        <b/>
        <sz val="11"/>
        <color theme="0"/>
        <rFont val="Century Gothic"/>
        <family val="2"/>
        <charset val="238"/>
      </rPr>
      <t xml:space="preserve">
</t>
    </r>
    <r>
      <rPr>
        <b/>
        <sz val="14"/>
        <color theme="0"/>
        <rFont val="Century Gothic"/>
        <family val="2"/>
        <charset val="238"/>
      </rPr>
      <t>- intumescent acrylic mastic INTU FR MASTIC
- fire rated intumescent coat INTU FR COAT I
- fire rated ablative coat INTU FR COAT A
- fire resistant foam ALFA FIREFOAM PREMIUM</t>
    </r>
  </si>
  <si>
    <r>
      <t xml:space="preserve">CABLES, BUNDLES, TRAYS
</t>
    </r>
    <r>
      <rPr>
        <b/>
        <sz val="14"/>
        <color theme="0"/>
        <rFont val="Century Gothic"/>
        <family val="2"/>
        <charset val="238"/>
      </rPr>
      <t>- intumescent acrylic mastic INTU FR MASTIC
- fire rated intumescent coat INTU FR COAT I + fire rated ablative coat INTU FR COAT A
- fire resistant foam ALFA FIREFOAM PREMIUM</t>
    </r>
  </si>
  <si>
    <r>
      <t xml:space="preserve">EXPANSION JOINTS AND GAPS
</t>
    </r>
    <r>
      <rPr>
        <b/>
        <sz val="14"/>
        <color theme="0"/>
        <rFont val="Century Gothic"/>
        <family val="2"/>
        <charset val="238"/>
      </rPr>
      <t>- fire rated expansion joint seal INTU FR EJ SEAL</t>
    </r>
    <r>
      <rPr>
        <b/>
        <sz val="18"/>
        <color theme="0"/>
        <rFont val="Century Gothic"/>
        <family val="2"/>
        <charset val="238"/>
      </rPr>
      <t xml:space="preserve">
</t>
    </r>
    <r>
      <rPr>
        <b/>
        <sz val="14"/>
        <color theme="0"/>
        <rFont val="Century Gothic"/>
        <family val="2"/>
        <charset val="238"/>
      </rPr>
      <t>- fire rated ablative coat INTU FR COAT A
- fire resistant foam ALFAFOAM FR</t>
    </r>
  </si>
  <si>
    <r>
      <t xml:space="preserve">VENTILATION
</t>
    </r>
    <r>
      <rPr>
        <b/>
        <sz val="14"/>
        <color theme="0"/>
        <rFont val="Century Gothic"/>
        <family val="2"/>
        <charset val="238"/>
      </rPr>
      <t>- firestop ventilation grilles INTU FR GRILLE
- air transfer faceplate INTU AIR TRANSFER PLATE</t>
    </r>
  </si>
  <si>
    <t>SELECT A SYSTEM</t>
  </si>
  <si>
    <t>MAIN MENU</t>
  </si>
  <si>
    <t>QUANTITY</t>
  </si>
  <si>
    <t>PRICE</t>
  </si>
  <si>
    <t>INTU FR WRAP - wraps</t>
  </si>
  <si>
    <t>FLAMMABLE PIPES (PVC, PP, PE, HDPE, PEX/AL/PEX; PE-RT/AL/PE-RT, PP-R GLASS; PP-R/AL/PP-R)</t>
  </si>
  <si>
    <t>Diameter [mm]</t>
  </si>
  <si>
    <t>Diameter 
[mm]</t>
  </si>
  <si>
    <t>MATERIAL COST OF TRANSITIONS</t>
  </si>
  <si>
    <t>BACK TO SYSTEM SELECTION</t>
  </si>
  <si>
    <t>INTU FR COLLAR - collars</t>
  </si>
  <si>
    <t>FLAMMABLE PIPES - FLOOR</t>
  </si>
  <si>
    <t>FLAMMABLE PIPES - WALL</t>
  </si>
  <si>
    <t>TOTAL COST</t>
  </si>
  <si>
    <t>TOTAL</t>
  </si>
  <si>
    <t>QUANTITY OF WRAPS</t>
  </si>
  <si>
    <t>QUANTITY OF COLLARS</t>
  </si>
  <si>
    <t>Z - CONSUMPTION PCS.</t>
  </si>
  <si>
    <t>CS - PRICE PER UNIT PACKAGE</t>
  </si>
  <si>
    <t>R - DISCOUNT</t>
  </si>
  <si>
    <t>CF - UNIT PRICE AFTER DISCOUNT</t>
  </si>
  <si>
    <t>Total number of pipes</t>
  </si>
  <si>
    <t>Total consumption [quantity of roll]</t>
  </si>
  <si>
    <t>Discount</t>
  </si>
  <si>
    <t>Price after discount</t>
  </si>
  <si>
    <t>INTU FR WRAP L 60mm
[pcs.]</t>
  </si>
  <si>
    <t>INTU FR WRAP L 100mm
[pcs.]</t>
  </si>
  <si>
    <t>Quantity of pipes</t>
  </si>
  <si>
    <t>Diameter
[mm]</t>
  </si>
  <si>
    <t>Insulation thickness</t>
  </si>
  <si>
    <t>Number of wraps</t>
  </si>
  <si>
    <t>Length of tape [mm]</t>
  </si>
  <si>
    <t>Amount from a roll 10m [pcs.]</t>
  </si>
  <si>
    <t>List price</t>
  </si>
  <si>
    <t>Unit cost</t>
  </si>
  <si>
    <t>Unit cost after discount</t>
  </si>
  <si>
    <t>Total cost after discount</t>
  </si>
  <si>
    <t>NON-FLAMMABLE PIPES IN FLAMMABLE INSULATIONS - rigid wall / floor</t>
  </si>
  <si>
    <t>FLAMMABLE PIPES - rigid wall / floor</t>
  </si>
  <si>
    <t>Roll of 10 m</t>
  </si>
  <si>
    <t>Roll of 25 m</t>
  </si>
  <si>
    <t>INTU FR WRAP L 60mm  (PVC, PP, PE, HDPE, PEX/AL/PEX; PE-RT/AL/PE-RT, PP-R GLASS; PP-R/AL/PP-R) - roll of 10 m</t>
  </si>
  <si>
    <t>INTU FR WRAP L 100mm  (PVC, PP, PE, HDPE) - roll of 10 m</t>
  </si>
  <si>
    <t>Material</t>
  </si>
  <si>
    <t>Steel + FEF insulation</t>
  </si>
  <si>
    <t>INTU FR WRAP L - steel pipes with FEF insulation - roll of 10 m</t>
  </si>
  <si>
    <t>INTU FR WRAP L - copper pipes with FEF insulation - roll of 10 m</t>
  </si>
  <si>
    <t>Copper + FEF insulation</t>
  </si>
  <si>
    <t>FLAMMABLE PIPES - flexible wall</t>
  </si>
  <si>
    <t>NON-FLAMMABLE PIPES IN FLAMMABLE INSULATIONS - flexible wall</t>
  </si>
  <si>
    <t>Length of tape
- 1 row [mm]</t>
  </si>
  <si>
    <t>Length of tape
- 2 rows [mm]</t>
  </si>
  <si>
    <t>-</t>
  </si>
  <si>
    <t>Casing length
[m]</t>
  </si>
  <si>
    <t>Length of tape 
[m]</t>
  </si>
  <si>
    <t>INTU FR COLLAR L 2,5m 
[pcs.]</t>
  </si>
  <si>
    <t>NON-FLAMMABLE PIPES IN FLAMMABLE INSULATIONS</t>
  </si>
  <si>
    <t>INTU FR COLLAR L - steel pipes with FEF insulation</t>
  </si>
  <si>
    <t>Amount from a roll [pcs.]</t>
  </si>
  <si>
    <t>Casing length [mm]</t>
  </si>
  <si>
    <t>INTU FR COLLAR L - copper pipes with FEF insulation</t>
  </si>
  <si>
    <t>INTU FR MASTIC + mineral wool</t>
  </si>
  <si>
    <t>INTU FR COAT A + mineral wool slab</t>
  </si>
  <si>
    <t>INTU FR COAT A
mineral wool slab</t>
  </si>
  <si>
    <t>CALCULATION OF CONSUMPTION 
INTU FR MASTIC</t>
  </si>
  <si>
    <t>hole diameter [mm]</t>
  </si>
  <si>
    <t>pipe diameter [mm]</t>
  </si>
  <si>
    <t>packaging (310/600)</t>
  </si>
  <si>
    <t>Consumption INTU FR MASTIC</t>
  </si>
  <si>
    <t>Dn (Ø [mm])</t>
  </si>
  <si>
    <t>Z - UNIT PACKAGING CONSUMPTION (310 ml)</t>
  </si>
  <si>
    <t>Z(kg) - LOOSE WOOL CONSUMPTION [kg]</t>
  </si>
  <si>
    <t>Z(m2) - WOOL LAGGING CONSUMPTION [m2]</t>
  </si>
  <si>
    <t>CS - PRICE PER PACK / PRICE PER M2</t>
  </si>
  <si>
    <t>NON-FLAMMABLE PIPES - DOUBLE-SIDED SEALING depth 2 x 15mm, width 10mm</t>
  </si>
  <si>
    <t>NON-FLAMMABLE PIPES - DOUBLE-SIDED SEALING depth 2 x 20mm, width 25mm</t>
  </si>
  <si>
    <t>INTU FR MASTIC 
depth 2 x 15mm</t>
  </si>
  <si>
    <t>INTU FR MASTIC 
depth 2 x 20mm</t>
  </si>
  <si>
    <t>Unit cost
(mass + mineral wool)</t>
  </si>
  <si>
    <t>TOTAL
(mass)</t>
  </si>
  <si>
    <t>TOTAL
(mass + mineral wool)</t>
  </si>
  <si>
    <t>NUMBER OF MASS PACKAGES</t>
  </si>
  <si>
    <t>LOOSE MINERAL WOOL depth 2 x 15mm</t>
  </si>
  <si>
    <t>LAGGING - MINERAL WOOL IN ALUMINIUM FOIL - density min. 37kg/m3</t>
  </si>
  <si>
    <t>depth of mass [mm]</t>
  </si>
  <si>
    <t>TOTAL - lagging</t>
  </si>
  <si>
    <t>TOTAL - loose mineral wool</t>
  </si>
  <si>
    <t>MINERAL WOOL QUANTITY - lagging [m2]</t>
  </si>
  <si>
    <t>QUANTITY OF MINERAL WOOL [kg]</t>
  </si>
  <si>
    <t>Z - CONSUMPTION OF PACKAGING</t>
  </si>
  <si>
    <t>CS - UNIT PRICE PER PACKAGE</t>
  </si>
  <si>
    <t>CF - UNIT PRICE PER PACKAGE AFTER DISCOUNT</t>
  </si>
  <si>
    <t>Z (m2) - MINERAL WOOL CONSUMPTION [m2]</t>
  </si>
  <si>
    <t>CS - UNIT PRICE per m2</t>
  </si>
  <si>
    <t>* - for slot width s≤2cm use mortar filling, for slot width 2&lt;s≤5cm use mineral wool filling</t>
  </si>
  <si>
    <t>INTU FR COAT A (12,5 kg)</t>
  </si>
  <si>
    <t>INTU FR COAT I (10 kg)
painting length - 500mm on both sides</t>
  </si>
  <si>
    <t>NON-FLAMMABLE PIPES  - filling with wool or mortar*</t>
  </si>
  <si>
    <t>Amount of paint INTU FR COAT I [pcs.]</t>
  </si>
  <si>
    <t>Amount of paint INTU FR COAT A [pcs.]</t>
  </si>
  <si>
    <t>Hole dimensions</t>
  </si>
  <si>
    <t>HEIGHT [cm]</t>
  </si>
  <si>
    <t>WIDTH [cm]</t>
  </si>
  <si>
    <t>AREA [m2]</t>
  </si>
  <si>
    <t>MINERAL WOOL SLABS 2x 60mm, density min 150kg/m3</t>
  </si>
  <si>
    <t>QUANTITY OF PAINT PACKAGES</t>
  </si>
  <si>
    <t>QUANTITY OF SLABS (m2)</t>
  </si>
  <si>
    <t>ALFA FIREFOAM PREMIUM
Non-flammable pipes &lt; 80mm (nitrile rubber insulation required)</t>
  </si>
  <si>
    <t>PIPE DIAMETER
[mm]</t>
  </si>
  <si>
    <t>HOLE DIMENSIONS [mm]</t>
  </si>
  <si>
    <t>Dim. A</t>
  </si>
  <si>
    <t>Dim. B</t>
  </si>
  <si>
    <t>Dim. C
wall thickness</t>
  </si>
  <si>
    <t>FOAM VOLUME
[cm3]</t>
  </si>
  <si>
    <t>Volume of 1 can of foam after expansion
[l]</t>
  </si>
  <si>
    <t>ALFA FIREFOAM PREMIUM - manual version</t>
  </si>
  <si>
    <t>Material cost</t>
  </si>
  <si>
    <t>AMOUNT OF FOAM [pcs.]</t>
  </si>
  <si>
    <t>Mineral wool slab</t>
  </si>
  <si>
    <t>Mineral wool</t>
  </si>
  <si>
    <t>cable/pipe diameter [mm]</t>
  </si>
  <si>
    <t>CS - PRICE PER PACK</t>
  </si>
  <si>
    <t>SINGLE CABLE, 1cm/4cm TWO-WAY SEAL</t>
  </si>
  <si>
    <t>Single cable / Bundle of cables</t>
  </si>
  <si>
    <t>Cable to ≤ Ø 21mm</t>
  </si>
  <si>
    <t>Bundle to ≤ Ø 100mm</t>
  </si>
  <si>
    <t>INTU FR MASTIC 
width 25mm, depth 2 x 20mm</t>
  </si>
  <si>
    <t>LOOSE MINERAL WOOL
depth 2x 15mm</t>
  </si>
  <si>
    <t>CS (€/kg)</t>
  </si>
  <si>
    <t>Material cost of transition</t>
  </si>
  <si>
    <t>QUANTITY OF PACKAGES (pcs.)</t>
  </si>
  <si>
    <t>AREA OF FR BOARD [m2]</t>
  </si>
  <si>
    <t>Width [cm]</t>
  </si>
  <si>
    <t>Height [cm]</t>
  </si>
  <si>
    <t>Hole</t>
  </si>
  <si>
    <t>Cable tray</t>
  </si>
  <si>
    <t>Cable tray dimensions
[mm x mm]</t>
  </si>
  <si>
    <t>INTU FR COAT A [12,5 kg]</t>
  </si>
  <si>
    <t>INTU FR COAT I [10 kg]</t>
  </si>
  <si>
    <t>MINERAL WOOL SLABS 2x 60mm, 
density min 150kg/m3</t>
  </si>
  <si>
    <t>QUANTITY OF INTU FR COAT A (pcs.)</t>
  </si>
  <si>
    <t>QUANTITY OF INTU FR COAT I (pcs.)</t>
  </si>
  <si>
    <t>ALFA FIREFOAM PREMIUM 750ml, FOR BUNDLE OF CABLES UP TO 50mm AND SINGLE CABLE UP TO 30mm; EI 90</t>
  </si>
  <si>
    <t>Dim. C</t>
  </si>
  <si>
    <t>Volume
[cm3]</t>
  </si>
  <si>
    <t>Volume of expanded foam [L]</t>
  </si>
  <si>
    <t>HOLE DIMENSIONS [cm]</t>
  </si>
  <si>
    <t>ALFA FIREFOAM PREMIUM
- manual version</t>
  </si>
  <si>
    <t>ALFA FIREFOAM PREMIUM 750ml, FOR BUNDLE OF CABLES 100mm; EI 120 + mineral wool underlay</t>
  </si>
  <si>
    <t>Dim. C 
(depth)</t>
  </si>
  <si>
    <t>Mineral wool, density min. 90 kg/m3</t>
  </si>
  <si>
    <t>QUANTITY OF WOOL [kg]</t>
  </si>
  <si>
    <t>INTU FR EJ SEAL
Mineral wool</t>
  </si>
  <si>
    <t>INTU FR COAT A
Mineral wool</t>
  </si>
  <si>
    <t>ALFAFOAM FR
Mineral wool</t>
  </si>
  <si>
    <t>QUANTITY
[m]</t>
  </si>
  <si>
    <t>Gap width
[mm]</t>
  </si>
  <si>
    <t>QUANTITY OF INTU FR EJ SEAL [m]</t>
  </si>
  <si>
    <t>MINERAL WOOL
density 50kg/m3, thickness 150mm</t>
  </si>
  <si>
    <t>QUANTITY OF MINERAL WOOL [m2]</t>
  </si>
  <si>
    <t>Z - CONSUMPTION OF INTU FR EJ SEAL [m]</t>
  </si>
  <si>
    <t>EXPANSION JOINT IN WALL OR FLOOR</t>
  </si>
  <si>
    <t>Z - UNIT PACKAGING CONSUMPTION</t>
  </si>
  <si>
    <t>EXPANSION JOINT IN WALL OR FLOOR - single sided painting</t>
  </si>
  <si>
    <t>MINERAL WOOL
density 50kg/m3, min. thickness 10cm</t>
  </si>
  <si>
    <t>MINERAL WOOL SLABS
density min. 150kg/m3, thickness 10cm</t>
  </si>
  <si>
    <t>ALFAFOAM FR 
- gun version</t>
  </si>
  <si>
    <t>Gap width
[cm]</t>
  </si>
  <si>
    <t>WIDTH OF WALL
[cm]</t>
  </si>
  <si>
    <t>DEPTH OF FOAM
[cm]</t>
  </si>
  <si>
    <t>ALFAFOAM FR 750ml, MAX WIDTH OF GAP: 2cm for EI 60, 1cm for EI 90, wall width min. 150mm</t>
  </si>
  <si>
    <t>ALFAFOAM FR 750ml, SIDE SEALING 2 x 5cm, for EI 180, wall width min 150mm</t>
  </si>
  <si>
    <t>INTU FR GRILLE R40A - rectangular</t>
  </si>
  <si>
    <t>INTU FR GRILLE R40B - rectangular</t>
  </si>
  <si>
    <t>INTU FR GRILLE R80 - rectangular</t>
  </si>
  <si>
    <t>INTU FR GRILLE C50 - circular</t>
  </si>
  <si>
    <t>INTU FR GRILLE C80 - circular</t>
  </si>
  <si>
    <t>INTU FR GRILLE - rectangular</t>
  </si>
  <si>
    <t xml:space="preserve">INTU FR GRILLE - rectangular </t>
  </si>
  <si>
    <t>INTU FR GRILLE - circular</t>
  </si>
  <si>
    <t>Air transfer faceplate INTU AIR TRANSFER PLATE</t>
  </si>
  <si>
    <t>Z - CONSUMPTION OF UNIT PACKAGING</t>
  </si>
  <si>
    <t>Discount
[%]</t>
  </si>
  <si>
    <t>Quantity of grilles 
[pcs.]</t>
  </si>
  <si>
    <t>Dimension</t>
  </si>
  <si>
    <t>Width</t>
  </si>
  <si>
    <t>Height</t>
  </si>
  <si>
    <t xml:space="preserve">Unit cost after discount </t>
  </si>
  <si>
    <t xml:space="preserve">Total cost after discount </t>
  </si>
  <si>
    <t>Nominal size [mm]</t>
  </si>
  <si>
    <t xml:space="preserve">External dimensions of the grille [mm] </t>
  </si>
  <si>
    <t>Active area [cm2]</t>
  </si>
  <si>
    <t>TOTAL QUANTITY</t>
  </si>
  <si>
    <t>TOTAL QUANTITY OF GRILLES</t>
  </si>
  <si>
    <t>TOTAL QUANTITY OF MASS</t>
  </si>
  <si>
    <t>* - the depth is assumed to be equal to the width of the grille + 10mm, with a gap of 5mm all around.</t>
  </si>
  <si>
    <t>3.2</t>
  </si>
  <si>
    <t>2022.06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</si>
</sst>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(&quot;zł&quot;* #,##0.00_);_(&quot;zł&quot;* \(#,##0.00\);_(&quot;zł&quot;* &quot;-&quot;??_);_(@_)"/>
    <numFmt numFmtId="165" formatCode="#,##0.00\ &quot;zł&quot;"/>
    <numFmt numFmtId="166" formatCode="0.000"/>
    <numFmt numFmtId="167" formatCode="0.0000"/>
    <numFmt numFmtId="168" formatCode="0.0"/>
    <numFmt numFmtId="169" formatCode="#,##0.00\ [$€-1]"/>
  </numFmts>
  <fonts count="38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u/>
      <sz val="10"/>
      <color theme="10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6"/>
      <color theme="0"/>
      <name val="Arial"/>
      <family val="2"/>
      <charset val="238"/>
    </font>
    <font>
      <sz val="16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1"/>
      <color theme="0"/>
      <name val="Arial"/>
      <family val="2"/>
      <charset val="238"/>
    </font>
    <font>
      <b/>
      <sz val="14"/>
      <color theme="0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4"/>
      <color theme="0"/>
      <name val="Arial"/>
      <family val="2"/>
      <charset val="238"/>
    </font>
    <font>
      <b/>
      <sz val="12"/>
      <name val="Arial"/>
      <family val="2"/>
      <charset val="238"/>
    </font>
    <font>
      <b/>
      <u/>
      <sz val="11"/>
      <color rgb="FF7030A0"/>
      <name val="Calibri"/>
      <family val="2"/>
      <charset val="238"/>
      <scheme val="minor"/>
    </font>
    <font>
      <b/>
      <u/>
      <sz val="11"/>
      <color rgb="FFFF0000"/>
      <name val="Calibri"/>
      <family val="2"/>
      <charset val="238"/>
      <scheme val="minor"/>
    </font>
    <font>
      <b/>
      <sz val="13"/>
      <color theme="0"/>
      <name val="Century Gothic"/>
      <family val="2"/>
      <charset val="238"/>
    </font>
    <font>
      <b/>
      <sz val="18"/>
      <color theme="0"/>
      <name val="Century Gothic"/>
      <family val="2"/>
      <charset val="238"/>
    </font>
    <font>
      <b/>
      <sz val="14"/>
      <color theme="0"/>
      <name val="Century Gothic"/>
      <family val="2"/>
      <charset val="238"/>
    </font>
    <font>
      <b/>
      <sz val="11"/>
      <color theme="0"/>
      <name val="Century Gothic"/>
      <family val="2"/>
      <charset val="238"/>
    </font>
    <font>
      <b/>
      <u/>
      <sz val="11"/>
      <color rgb="FF00B050"/>
      <name val="Calibri"/>
      <family val="2"/>
      <charset val="238"/>
      <scheme val="minor"/>
    </font>
    <font>
      <i/>
      <u/>
      <sz val="8"/>
      <name val="Arial"/>
      <family val="2"/>
      <charset val="238"/>
    </font>
    <font>
      <i/>
      <u/>
      <sz val="10"/>
      <name val="Calibri"/>
      <family val="2"/>
      <charset val="238"/>
      <scheme val="minor"/>
    </font>
    <font>
      <b/>
      <sz val="13"/>
      <color theme="1" tint="0.34998626667073579"/>
      <name val="Century Gothic"/>
      <family val="2"/>
      <charset val="238"/>
    </font>
    <font>
      <b/>
      <sz val="10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sz val="11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indexed="64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499984740745262"/>
      </right>
      <top/>
      <bottom/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338">
    <xf numFmtId="0" fontId="0" fillId="0" borderId="0" xfId="0"/>
    <xf numFmtId="0" fontId="3" fillId="3" borderId="1" xfId="0" applyFont="1" applyFill="1" applyBorder="1" applyAlignment="1" applyProtection="1">
      <alignment horizontal="center" vertical="center"/>
      <protection locked="0"/>
    </xf>
    <xf numFmtId="9" fontId="3" fillId="3" borderId="1" xfId="3" applyFont="1" applyFill="1" applyBorder="1" applyAlignment="1" applyProtection="1">
      <alignment horizontal="center" vertical="center"/>
      <protection locked="0"/>
    </xf>
    <xf numFmtId="10" fontId="3" fillId="3" borderId="1" xfId="0" applyNumberFormat="1" applyFont="1" applyFill="1" applyBorder="1" applyAlignment="1" applyProtection="1">
      <alignment horizontal="center" vertical="center"/>
      <protection locked="0"/>
    </xf>
    <xf numFmtId="0" fontId="2" fillId="3" borderId="1" xfId="0" applyFont="1" applyFill="1" applyBorder="1" applyAlignment="1" applyProtection="1">
      <alignment horizontal="center"/>
      <protection locked="0"/>
    </xf>
    <xf numFmtId="9" fontId="3" fillId="3" borderId="1" xfId="3" applyFont="1" applyFill="1" applyBorder="1" applyAlignment="1" applyProtection="1">
      <alignment horizontal="center"/>
      <protection locked="0"/>
    </xf>
    <xf numFmtId="9" fontId="2" fillId="3" borderId="1" xfId="3" applyFont="1" applyFill="1" applyBorder="1" applyAlignment="1" applyProtection="1">
      <alignment horizontal="center"/>
      <protection locked="0"/>
    </xf>
    <xf numFmtId="0" fontId="3" fillId="3" borderId="1" xfId="0" applyFont="1" applyFill="1" applyBorder="1" applyAlignment="1" applyProtection="1">
      <alignment horizontal="center"/>
      <protection locked="0"/>
    </xf>
    <xf numFmtId="0" fontId="2" fillId="3" borderId="1" xfId="0" applyFont="1" applyFill="1" applyBorder="1" applyAlignment="1" applyProtection="1">
      <alignment horizontal="center" vertical="center"/>
      <protection locked="0"/>
    </xf>
    <xf numFmtId="9" fontId="2" fillId="3" borderId="1" xfId="3" applyFont="1" applyFill="1" applyBorder="1" applyAlignment="1" applyProtection="1">
      <alignment horizontal="center" vertical="center"/>
      <protection locked="0"/>
    </xf>
    <xf numFmtId="9" fontId="22" fillId="3" borderId="1" xfId="3" applyFont="1" applyFill="1" applyBorder="1" applyAlignment="1" applyProtection="1">
      <alignment horizontal="center"/>
      <protection locked="0"/>
    </xf>
    <xf numFmtId="0" fontId="10" fillId="3" borderId="1" xfId="0" applyFont="1" applyFill="1" applyBorder="1" applyAlignment="1" applyProtection="1">
      <alignment horizontal="center"/>
      <protection locked="0"/>
    </xf>
    <xf numFmtId="0" fontId="10" fillId="3" borderId="3" xfId="0" applyFont="1" applyFill="1" applyBorder="1" applyAlignment="1" applyProtection="1">
      <alignment horizontal="center"/>
      <protection locked="0"/>
    </xf>
    <xf numFmtId="9" fontId="10" fillId="3" borderId="1" xfId="3" applyFont="1" applyFill="1" applyBorder="1" applyAlignment="1" applyProtection="1">
      <alignment horizontal="center" vertical="center"/>
      <protection locked="0"/>
    </xf>
    <xf numFmtId="0" fontId="0" fillId="0" borderId="0" xfId="0"/>
    <xf numFmtId="0" fontId="0" fillId="0" borderId="0" xfId="0"/>
    <xf numFmtId="0" fontId="3" fillId="0" borderId="1" xfId="0" applyFont="1" applyFill="1" applyBorder="1" applyAlignment="1" applyProtection="1">
      <alignment horizontal="center" vertical="center"/>
    </xf>
    <xf numFmtId="0" fontId="0" fillId="0" borderId="0" xfId="0"/>
    <xf numFmtId="0" fontId="0" fillId="0" borderId="0" xfId="0" applyAlignment="1">
      <alignment wrapText="1"/>
    </xf>
    <xf numFmtId="0" fontId="28" fillId="0" borderId="0" xfId="0" applyFont="1"/>
    <xf numFmtId="0" fontId="0" fillId="0" borderId="0" xfId="0" applyFont="1"/>
    <xf numFmtId="0" fontId="2" fillId="0" borderId="0" xfId="0" applyFont="1" applyAlignment="1" applyProtection="1">
      <alignment horizontal="left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center"/>
    </xf>
    <xf numFmtId="0" fontId="2" fillId="0" borderId="0" xfId="0" applyFont="1" applyProtection="1"/>
    <xf numFmtId="0" fontId="5" fillId="0" borderId="0" xfId="0" applyFont="1" applyProtection="1"/>
    <xf numFmtId="0" fontId="5" fillId="0" borderId="0" xfId="0" applyFont="1" applyAlignment="1" applyProtection="1">
      <alignment horizontal="left"/>
    </xf>
    <xf numFmtId="2" fontId="5" fillId="0" borderId="1" xfId="0" applyNumberFormat="1" applyFont="1" applyBorder="1" applyAlignment="1" applyProtection="1">
      <alignment horizontal="center" vertical="center"/>
    </xf>
    <xf numFmtId="166" fontId="5" fillId="0" borderId="1" xfId="0" applyNumberFormat="1" applyFont="1" applyBorder="1" applyAlignment="1" applyProtection="1">
      <alignment horizontal="center" vertical="center"/>
    </xf>
    <xf numFmtId="0" fontId="0" fillId="0" borderId="0" xfId="0" quotePrefix="1" applyProtection="1"/>
    <xf numFmtId="0" fontId="7" fillId="0" borderId="0" xfId="1" quotePrefix="1" applyFont="1" applyAlignment="1" applyProtection="1">
      <alignment horizontal="left"/>
    </xf>
    <xf numFmtId="0" fontId="12" fillId="0" borderId="0" xfId="0" applyFont="1" applyProtection="1"/>
    <xf numFmtId="0" fontId="2" fillId="0" borderId="0" xfId="0" applyFont="1" applyBorder="1" applyAlignment="1" applyProtection="1">
      <alignment horizontal="left" vertical="center"/>
    </xf>
    <xf numFmtId="166" fontId="3" fillId="0" borderId="1" xfId="0" applyNumberFormat="1" applyFont="1" applyBorder="1" applyAlignment="1" applyProtection="1">
      <alignment horizontal="center"/>
    </xf>
    <xf numFmtId="0" fontId="9" fillId="0" borderId="0" xfId="0" applyFont="1" applyFill="1" applyBorder="1" applyAlignment="1" applyProtection="1">
      <alignment vertical="center"/>
    </xf>
    <xf numFmtId="0" fontId="2" fillId="0" borderId="5" xfId="0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/>
    </xf>
    <xf numFmtId="9" fontId="2" fillId="0" borderId="1" xfId="3" applyFont="1" applyBorder="1" applyAlignment="1" applyProtection="1">
      <alignment horizontal="center" vertical="center"/>
    </xf>
    <xf numFmtId="168" fontId="2" fillId="0" borderId="1" xfId="0" applyNumberFormat="1" applyFont="1" applyBorder="1" applyAlignment="1" applyProtection="1">
      <alignment horizontal="center"/>
    </xf>
    <xf numFmtId="9" fontId="2" fillId="0" borderId="1" xfId="3" applyFont="1" applyBorder="1" applyAlignment="1" applyProtection="1">
      <alignment horizontal="center"/>
    </xf>
    <xf numFmtId="2" fontId="2" fillId="0" borderId="1" xfId="0" applyNumberFormat="1" applyFont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 vertical="center"/>
    </xf>
    <xf numFmtId="166" fontId="2" fillId="0" borderId="1" xfId="0" applyNumberFormat="1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vertical="center"/>
    </xf>
    <xf numFmtId="0" fontId="6" fillId="0" borderId="0" xfId="0" applyFont="1" applyAlignment="1" applyProtection="1">
      <alignment horizontal="left"/>
    </xf>
    <xf numFmtId="2" fontId="5" fillId="0" borderId="1" xfId="0" applyNumberFormat="1" applyFont="1" applyBorder="1" applyAlignment="1" applyProtection="1">
      <alignment horizontal="center"/>
    </xf>
    <xf numFmtId="0" fontId="0" fillId="0" borderId="0" xfId="0" applyProtection="1"/>
    <xf numFmtId="0" fontId="3" fillId="0" borderId="0" xfId="0" applyFont="1" applyFill="1" applyProtection="1"/>
    <xf numFmtId="0" fontId="18" fillId="0" borderId="0" xfId="1" applyFont="1" applyAlignment="1" applyProtection="1">
      <alignment horizontal="center" vertical="center"/>
    </xf>
    <xf numFmtId="10" fontId="2" fillId="0" borderId="1" xfId="0" applyNumberFormat="1" applyFont="1" applyBorder="1" applyAlignment="1" applyProtection="1">
      <alignment horizontal="center" vertical="center"/>
    </xf>
    <xf numFmtId="165" fontId="2" fillId="0" borderId="0" xfId="0" applyNumberFormat="1" applyFont="1" applyAlignment="1" applyProtection="1">
      <alignment horizontal="left" vertical="center"/>
    </xf>
    <xf numFmtId="0" fontId="10" fillId="0" borderId="0" xfId="0" applyFont="1" applyProtection="1"/>
    <xf numFmtId="0" fontId="10" fillId="0" borderId="0" xfId="0" applyFont="1" applyAlignment="1" applyProtection="1">
      <alignment horizontal="center" wrapText="1"/>
    </xf>
    <xf numFmtId="9" fontId="10" fillId="0" borderId="0" xfId="3" applyFont="1" applyAlignment="1" applyProtection="1">
      <alignment horizontal="center" vertical="center" wrapText="1"/>
    </xf>
    <xf numFmtId="165" fontId="10" fillId="0" borderId="0" xfId="0" applyNumberFormat="1" applyFont="1" applyAlignment="1" applyProtection="1">
      <alignment horizontal="center" vertical="center" wrapText="1"/>
    </xf>
    <xf numFmtId="0" fontId="10" fillId="0" borderId="0" xfId="0" applyFont="1" applyAlignment="1" applyProtection="1">
      <alignment horizontal="center" vertical="center" wrapText="1"/>
    </xf>
    <xf numFmtId="0" fontId="22" fillId="0" borderId="1" xfId="0" applyFont="1" applyBorder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center"/>
    </xf>
    <xf numFmtId="0" fontId="22" fillId="0" borderId="0" xfId="0" applyFont="1" applyAlignment="1" applyProtection="1">
      <alignment horizontal="center"/>
    </xf>
    <xf numFmtId="0" fontId="10" fillId="0" borderId="0" xfId="0" applyNumberFormat="1" applyFont="1" applyAlignment="1" applyProtection="1">
      <alignment horizontal="center"/>
    </xf>
    <xf numFmtId="165" fontId="10" fillId="0" borderId="0" xfId="0" applyNumberFormat="1" applyFont="1" applyAlignment="1" applyProtection="1">
      <alignment horizontal="center"/>
    </xf>
    <xf numFmtId="9" fontId="10" fillId="0" borderId="0" xfId="3" applyFont="1" applyAlignment="1" applyProtection="1">
      <alignment horizontal="center"/>
    </xf>
    <xf numFmtId="0" fontId="10" fillId="0" borderId="1" xfId="0" applyFont="1" applyBorder="1" applyAlignment="1" applyProtection="1">
      <alignment horizontal="center"/>
    </xf>
    <xf numFmtId="9" fontId="10" fillId="0" borderId="1" xfId="3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22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center"/>
    </xf>
    <xf numFmtId="165" fontId="10" fillId="0" borderId="0" xfId="0" applyNumberFormat="1" applyFont="1" applyBorder="1" applyAlignment="1" applyProtection="1">
      <alignment horizontal="center"/>
    </xf>
    <xf numFmtId="9" fontId="10" fillId="0" borderId="0" xfId="3" applyFont="1" applyBorder="1" applyAlignment="1" applyProtection="1">
      <alignment horizontal="center"/>
    </xf>
    <xf numFmtId="168" fontId="10" fillId="0" borderId="1" xfId="0" applyNumberFormat="1" applyFont="1" applyBorder="1" applyAlignment="1" applyProtection="1">
      <alignment horizontal="center"/>
    </xf>
    <xf numFmtId="2" fontId="22" fillId="0" borderId="1" xfId="0" applyNumberFormat="1" applyFont="1" applyBorder="1" applyAlignment="1" applyProtection="1">
      <alignment horizontal="center" vertical="center"/>
    </xf>
    <xf numFmtId="0" fontId="22" fillId="0" borderId="5" xfId="0" applyFont="1" applyBorder="1" applyAlignment="1" applyProtection="1">
      <alignment horizontal="center"/>
    </xf>
    <xf numFmtId="168" fontId="10" fillId="0" borderId="1" xfId="0" applyNumberFormat="1" applyFont="1" applyBorder="1" applyAlignment="1" applyProtection="1">
      <alignment horizontal="center" vertical="center"/>
    </xf>
    <xf numFmtId="0" fontId="2" fillId="0" borderId="0" xfId="0" applyFont="1" applyAlignment="1" applyProtection="1">
      <alignment vertical="center"/>
    </xf>
    <xf numFmtId="0" fontId="3" fillId="0" borderId="0" xfId="0" applyFont="1" applyAlignment="1" applyProtection="1">
      <alignment vertical="center"/>
    </xf>
    <xf numFmtId="1" fontId="5" fillId="0" borderId="1" xfId="0" applyNumberFormat="1" applyFont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vertical="center"/>
    </xf>
    <xf numFmtId="165" fontId="6" fillId="0" borderId="0" xfId="0" applyNumberFormat="1" applyFont="1" applyFill="1" applyBorder="1" applyAlignment="1" applyProtection="1">
      <alignment horizontal="center" vertical="center"/>
    </xf>
    <xf numFmtId="0" fontId="7" fillId="0" borderId="0" xfId="1" quotePrefix="1" applyFont="1" applyAlignment="1" applyProtection="1">
      <alignment horizontal="left" vertical="center"/>
    </xf>
    <xf numFmtId="0" fontId="20" fillId="0" borderId="0" xfId="1" applyFont="1" applyFill="1" applyAlignment="1" applyProtection="1">
      <alignment horizontal="center"/>
    </xf>
    <xf numFmtId="0" fontId="12" fillId="0" borderId="0" xfId="0" applyFont="1" applyAlignment="1" applyProtection="1">
      <alignment vertical="center"/>
    </xf>
    <xf numFmtId="166" fontId="3" fillId="0" borderId="1" xfId="0" applyNumberFormat="1" applyFont="1" applyBorder="1" applyAlignment="1" applyProtection="1">
      <alignment horizontal="center" vertical="center"/>
    </xf>
    <xf numFmtId="9" fontId="2" fillId="0" borderId="1" xfId="3" applyFont="1" applyFill="1" applyBorder="1" applyAlignment="1" applyProtection="1">
      <alignment horizontal="center" vertical="center"/>
    </xf>
    <xf numFmtId="166" fontId="2" fillId="0" borderId="1" xfId="0" applyNumberFormat="1" applyFont="1" applyBorder="1" applyAlignment="1" applyProtection="1">
      <alignment horizontal="center" vertical="center"/>
    </xf>
    <xf numFmtId="2" fontId="2" fillId="0" borderId="1" xfId="0" applyNumberFormat="1" applyFont="1" applyBorder="1" applyAlignment="1" applyProtection="1">
      <alignment horizontal="center" vertical="center"/>
    </xf>
    <xf numFmtId="9" fontId="2" fillId="0" borderId="6" xfId="3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2" fontId="2" fillId="0" borderId="5" xfId="0" applyNumberFormat="1" applyFont="1" applyBorder="1" applyAlignment="1" applyProtection="1">
      <alignment horizontal="center" vertical="center"/>
    </xf>
    <xf numFmtId="0" fontId="18" fillId="0" borderId="0" xfId="1" applyFont="1" applyAlignment="1" applyProtection="1">
      <alignment vertical="center"/>
    </xf>
    <xf numFmtId="0" fontId="13" fillId="0" borderId="0" xfId="0" applyFont="1" applyAlignment="1" applyProtection="1">
      <alignment horizontal="left" vertical="center"/>
    </xf>
    <xf numFmtId="2" fontId="13" fillId="0" borderId="1" xfId="0" applyNumberFormat="1" applyFont="1" applyBorder="1" applyAlignment="1" applyProtection="1">
      <alignment horizontal="center" vertical="center"/>
    </xf>
    <xf numFmtId="166" fontId="13" fillId="0" borderId="1" xfId="0" applyNumberFormat="1" applyFont="1" applyBorder="1" applyAlignment="1" applyProtection="1">
      <alignment horizontal="center" vertical="center"/>
    </xf>
    <xf numFmtId="2" fontId="8" fillId="0" borderId="1" xfId="0" applyNumberFormat="1" applyFont="1" applyBorder="1" applyAlignment="1" applyProtection="1">
      <alignment horizontal="center"/>
    </xf>
    <xf numFmtId="0" fontId="2" fillId="0" borderId="1" xfId="0" applyFont="1" applyFill="1" applyBorder="1" applyAlignment="1" applyProtection="1">
      <alignment horizontal="center"/>
    </xf>
    <xf numFmtId="9" fontId="2" fillId="0" borderId="1" xfId="0" applyNumberFormat="1" applyFont="1" applyBorder="1" applyAlignment="1" applyProtection="1">
      <alignment horizontal="center"/>
    </xf>
    <xf numFmtId="0" fontId="19" fillId="0" borderId="0" xfId="1" applyFont="1" applyFill="1" applyAlignment="1" applyProtection="1">
      <alignment vertical="center"/>
    </xf>
    <xf numFmtId="0" fontId="2" fillId="0" borderId="1" xfId="0" applyNumberFormat="1" applyFont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vertical="center"/>
    </xf>
    <xf numFmtId="9" fontId="2" fillId="0" borderId="1" xfId="0" applyNumberFormat="1" applyFont="1" applyBorder="1" applyAlignment="1" applyProtection="1">
      <alignment horizontal="center" vertical="center"/>
    </xf>
    <xf numFmtId="0" fontId="2" fillId="0" borderId="1" xfId="3" applyNumberFormat="1" applyFont="1" applyFill="1" applyBorder="1" applyAlignment="1" applyProtection="1">
      <alignment horizontal="center" vertical="center"/>
    </xf>
    <xf numFmtId="16" fontId="34" fillId="0" borderId="18" xfId="0" quotePrefix="1" applyNumberFormat="1" applyFont="1" applyFill="1" applyBorder="1" applyAlignment="1">
      <alignment horizontal="center" vertical="center"/>
    </xf>
    <xf numFmtId="0" fontId="10" fillId="0" borderId="0" xfId="0" applyFont="1" applyBorder="1" applyProtection="1"/>
    <xf numFmtId="168" fontId="10" fillId="0" borderId="0" xfId="0" applyNumberFormat="1" applyFont="1" applyBorder="1" applyAlignment="1" applyProtection="1">
      <alignment horizontal="center"/>
    </xf>
    <xf numFmtId="0" fontId="23" fillId="0" borderId="0" xfId="0" applyFont="1" applyFill="1" applyBorder="1" applyAlignment="1" applyProtection="1">
      <alignment vertical="center"/>
    </xf>
    <xf numFmtId="166" fontId="22" fillId="0" borderId="1" xfId="0" applyNumberFormat="1" applyFont="1" applyBorder="1" applyAlignment="1" applyProtection="1">
      <alignment horizontal="center" vertical="center"/>
    </xf>
    <xf numFmtId="0" fontId="10" fillId="0" borderId="0" xfId="3" applyNumberFormat="1" applyFont="1" applyAlignment="1" applyProtection="1">
      <alignment horizontal="center" vertical="center" wrapText="1"/>
    </xf>
    <xf numFmtId="0" fontId="2" fillId="0" borderId="0" xfId="0" applyFont="1" applyAlignment="1" applyProtection="1">
      <alignment horizontal="left"/>
    </xf>
    <xf numFmtId="0" fontId="2" fillId="0" borderId="5" xfId="0" applyFont="1" applyBorder="1" applyAlignment="1" applyProtection="1">
      <alignment horizontal="center"/>
    </xf>
    <xf numFmtId="0" fontId="2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/>
    </xf>
    <xf numFmtId="168" fontId="10" fillId="0" borderId="1" xfId="0" applyNumberFormat="1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left"/>
    </xf>
    <xf numFmtId="0" fontId="2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/>
    </xf>
    <xf numFmtId="0" fontId="2" fillId="0" borderId="1" xfId="0" applyFont="1" applyBorder="1" applyAlignment="1" applyProtection="1">
      <alignment horizontal="center" vertical="center"/>
    </xf>
    <xf numFmtId="0" fontId="10" fillId="3" borderId="12" xfId="0" applyFont="1" applyFill="1" applyBorder="1" applyAlignment="1" applyProtection="1">
      <alignment horizontal="center"/>
      <protection locked="0"/>
    </xf>
    <xf numFmtId="0" fontId="22" fillId="0" borderId="13" xfId="0" applyFont="1" applyBorder="1" applyAlignment="1" applyProtection="1">
      <alignment horizontal="center"/>
    </xf>
    <xf numFmtId="0" fontId="10" fillId="0" borderId="7" xfId="0" applyFont="1" applyBorder="1" applyAlignment="1" applyProtection="1">
      <alignment horizontal="center"/>
    </xf>
    <xf numFmtId="168" fontId="10" fillId="0" borderId="7" xfId="0" applyNumberFormat="1" applyFont="1" applyBorder="1" applyAlignment="1" applyProtection="1">
      <alignment horizontal="center"/>
    </xf>
    <xf numFmtId="9" fontId="22" fillId="3" borderId="7" xfId="3" applyFont="1" applyFill="1" applyBorder="1" applyAlignment="1" applyProtection="1">
      <alignment horizontal="center"/>
      <protection locked="0"/>
    </xf>
    <xf numFmtId="0" fontId="22" fillId="0" borderId="7" xfId="0" applyFont="1" applyFill="1" applyBorder="1" applyAlignment="1" applyProtection="1">
      <alignment horizontal="center"/>
    </xf>
    <xf numFmtId="1" fontId="22" fillId="0" borderId="7" xfId="0" applyNumberFormat="1" applyFont="1" applyFill="1" applyBorder="1" applyAlignment="1" applyProtection="1">
      <alignment horizontal="center"/>
    </xf>
    <xf numFmtId="0" fontId="22" fillId="0" borderId="1" xfId="0" applyFont="1" applyFill="1" applyBorder="1" applyAlignment="1" applyProtection="1">
      <alignment horizontal="center"/>
    </xf>
    <xf numFmtId="1" fontId="22" fillId="0" borderId="1" xfId="0" applyNumberFormat="1" applyFont="1" applyFill="1" applyBorder="1" applyAlignment="1" applyProtection="1">
      <alignment horizontal="center"/>
    </xf>
    <xf numFmtId="2" fontId="35" fillId="0" borderId="1" xfId="0" applyNumberFormat="1" applyFont="1" applyBorder="1" applyAlignment="1" applyProtection="1">
      <alignment horizontal="center" vertical="center"/>
    </xf>
    <xf numFmtId="0" fontId="0" fillId="0" borderId="0" xfId="0" quotePrefix="1" applyProtection="1"/>
    <xf numFmtId="0" fontId="2" fillId="0" borderId="1" xfId="0" applyFont="1" applyBorder="1" applyAlignment="1" applyProtection="1">
      <alignment horizontal="center" vertical="center"/>
    </xf>
    <xf numFmtId="9" fontId="22" fillId="3" borderId="1" xfId="3" applyFont="1" applyFill="1" applyBorder="1" applyAlignment="1" applyProtection="1">
      <alignment horizontal="center" vertical="center"/>
      <protection locked="0"/>
    </xf>
    <xf numFmtId="0" fontId="10" fillId="0" borderId="1" xfId="0" applyFont="1" applyFill="1" applyBorder="1" applyAlignment="1" applyProtection="1">
      <alignment horizontal="center"/>
    </xf>
    <xf numFmtId="168" fontId="10" fillId="0" borderId="1" xfId="0" applyNumberFormat="1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/>
    </xf>
    <xf numFmtId="0" fontId="2" fillId="6" borderId="6" xfId="0" applyFont="1" applyFill="1" applyBorder="1" applyAlignment="1" applyProtection="1">
      <alignment horizontal="center"/>
    </xf>
    <xf numFmtId="0" fontId="3" fillId="6" borderId="7" xfId="0" applyFont="1" applyFill="1" applyBorder="1" applyAlignment="1" applyProtection="1">
      <alignment horizontal="center"/>
    </xf>
    <xf numFmtId="0" fontId="2" fillId="6" borderId="1" xfId="0" applyFont="1" applyFill="1" applyBorder="1" applyAlignment="1" applyProtection="1">
      <alignment horizontal="center" vertical="center" wrapText="1"/>
    </xf>
    <xf numFmtId="1" fontId="2" fillId="6" borderId="1" xfId="0" applyNumberFormat="1" applyFont="1" applyFill="1" applyBorder="1" applyAlignment="1" applyProtection="1">
      <alignment horizontal="center"/>
    </xf>
    <xf numFmtId="1" fontId="2" fillId="6" borderId="1" xfId="0" applyNumberFormat="1" applyFont="1" applyFill="1" applyBorder="1" applyAlignment="1" applyProtection="1">
      <alignment horizontal="center" vertical="center"/>
    </xf>
    <xf numFmtId="0" fontId="5" fillId="6" borderId="1" xfId="0" applyFont="1" applyFill="1" applyBorder="1" applyAlignment="1" applyProtection="1">
      <alignment horizontal="center" vertical="center"/>
    </xf>
    <xf numFmtId="0" fontId="6" fillId="6" borderId="7" xfId="0" applyFont="1" applyFill="1" applyBorder="1" applyAlignment="1" applyProtection="1">
      <alignment horizontal="center" vertical="center"/>
    </xf>
    <xf numFmtId="0" fontId="9" fillId="6" borderId="1" xfId="0" applyFont="1" applyFill="1" applyBorder="1" applyAlignment="1" applyProtection="1">
      <alignment horizontal="center" vertical="center"/>
    </xf>
    <xf numFmtId="0" fontId="2" fillId="6" borderId="1" xfId="0" applyFont="1" applyFill="1" applyBorder="1" applyAlignment="1" applyProtection="1">
      <alignment horizontal="center" vertical="center"/>
    </xf>
    <xf numFmtId="0" fontId="14" fillId="6" borderId="1" xfId="0" applyFont="1" applyFill="1" applyBorder="1" applyAlignment="1" applyProtection="1">
      <alignment horizontal="center" vertical="center"/>
    </xf>
    <xf numFmtId="0" fontId="2" fillId="6" borderId="6" xfId="0" applyFont="1" applyFill="1" applyBorder="1" applyAlignment="1" applyProtection="1">
      <alignment horizontal="center" vertical="center"/>
    </xf>
    <xf numFmtId="2" fontId="2" fillId="6" borderId="1" xfId="0" applyNumberFormat="1" applyFont="1" applyFill="1" applyBorder="1" applyAlignment="1" applyProtection="1">
      <alignment horizontal="center"/>
    </xf>
    <xf numFmtId="167" fontId="2" fillId="6" borderId="1" xfId="0" applyNumberFormat="1" applyFont="1" applyFill="1" applyBorder="1" applyAlignment="1" applyProtection="1">
      <alignment horizontal="center"/>
    </xf>
    <xf numFmtId="0" fontId="2" fillId="6" borderId="1" xfId="0" applyFont="1" applyFill="1" applyBorder="1" applyAlignment="1" applyProtection="1">
      <alignment horizontal="center"/>
    </xf>
    <xf numFmtId="2" fontId="2" fillId="6" borderId="1" xfId="0" applyNumberFormat="1" applyFont="1" applyFill="1" applyBorder="1" applyAlignment="1" applyProtection="1">
      <alignment horizontal="center" vertical="center"/>
    </xf>
    <xf numFmtId="0" fontId="2" fillId="6" borderId="3" xfId="0" applyFont="1" applyFill="1" applyBorder="1" applyAlignment="1" applyProtection="1">
      <alignment horizontal="center" vertical="center"/>
    </xf>
    <xf numFmtId="166" fontId="2" fillId="6" borderId="1" xfId="0" applyNumberFormat="1" applyFont="1" applyFill="1" applyBorder="1" applyAlignment="1" applyProtection="1">
      <alignment horizontal="center" vertical="center"/>
    </xf>
    <xf numFmtId="167" fontId="2" fillId="6" borderId="1" xfId="0" applyNumberFormat="1" applyFont="1" applyFill="1" applyBorder="1" applyAlignment="1" applyProtection="1">
      <alignment horizontal="center" vertical="center"/>
    </xf>
    <xf numFmtId="0" fontId="3" fillId="6" borderId="1" xfId="0" applyFont="1" applyFill="1" applyBorder="1" applyAlignment="1" applyProtection="1">
      <alignment horizontal="center" vertical="center" wrapText="1"/>
    </xf>
    <xf numFmtId="1" fontId="22" fillId="7" borderId="1" xfId="0" applyNumberFormat="1" applyFont="1" applyFill="1" applyBorder="1" applyAlignment="1" applyProtection="1">
      <alignment horizontal="center" vertical="center"/>
    </xf>
    <xf numFmtId="168" fontId="22" fillId="7" borderId="1" xfId="0" applyNumberFormat="1" applyFont="1" applyFill="1" applyBorder="1" applyAlignment="1" applyProtection="1">
      <alignment horizontal="center"/>
    </xf>
    <xf numFmtId="0" fontId="22" fillId="7" borderId="1" xfId="0" applyFont="1" applyFill="1" applyBorder="1" applyAlignment="1" applyProtection="1">
      <alignment horizontal="center"/>
    </xf>
    <xf numFmtId="1" fontId="22" fillId="7" borderId="1" xfId="0" applyNumberFormat="1" applyFont="1" applyFill="1" applyBorder="1" applyAlignment="1" applyProtection="1">
      <alignment horizontal="center"/>
    </xf>
    <xf numFmtId="0" fontId="22" fillId="7" borderId="7" xfId="0" applyFont="1" applyFill="1" applyBorder="1" applyAlignment="1" applyProtection="1">
      <alignment horizontal="center"/>
    </xf>
    <xf numFmtId="1" fontId="22" fillId="7" borderId="7" xfId="0" applyNumberFormat="1" applyFont="1" applyFill="1" applyBorder="1" applyAlignment="1" applyProtection="1">
      <alignment horizontal="center"/>
    </xf>
    <xf numFmtId="0" fontId="3" fillId="6" borderId="8" xfId="0" applyFont="1" applyFill="1" applyBorder="1" applyAlignment="1" applyProtection="1">
      <alignment horizontal="center" vertical="center" wrapText="1"/>
    </xf>
    <xf numFmtId="1" fontId="35" fillId="7" borderId="1" xfId="0" applyNumberFormat="1" applyFont="1" applyFill="1" applyBorder="1" applyAlignment="1" applyProtection="1">
      <alignment horizontal="center"/>
    </xf>
    <xf numFmtId="0" fontId="21" fillId="4" borderId="1" xfId="0" applyFont="1" applyFill="1" applyBorder="1" applyAlignment="1" applyProtection="1">
      <alignment horizontal="center" vertical="center" wrapText="1"/>
    </xf>
    <xf numFmtId="0" fontId="36" fillId="0" borderId="0" xfId="1" applyFont="1" applyProtection="1"/>
    <xf numFmtId="169" fontId="2" fillId="0" borderId="1" xfId="0" applyNumberFormat="1" applyFont="1" applyBorder="1" applyAlignment="1" applyProtection="1">
      <alignment horizontal="center" vertical="center"/>
    </xf>
    <xf numFmtId="169" fontId="2" fillId="6" borderId="1" xfId="0" applyNumberFormat="1" applyFont="1" applyFill="1" applyBorder="1" applyAlignment="1" applyProtection="1">
      <alignment horizontal="center"/>
    </xf>
    <xf numFmtId="169" fontId="5" fillId="0" borderId="1" xfId="0" applyNumberFormat="1" applyFont="1" applyBorder="1" applyAlignment="1" applyProtection="1">
      <alignment horizontal="center"/>
    </xf>
    <xf numFmtId="169" fontId="6" fillId="6" borderId="7" xfId="0" applyNumberFormat="1" applyFont="1" applyFill="1" applyBorder="1" applyAlignment="1" applyProtection="1">
      <alignment horizontal="center"/>
    </xf>
    <xf numFmtId="169" fontId="2" fillId="6" borderId="1" xfId="0" applyNumberFormat="1" applyFont="1" applyFill="1" applyBorder="1" applyAlignment="1" applyProtection="1">
      <alignment horizontal="center" vertical="center"/>
    </xf>
    <xf numFmtId="169" fontId="10" fillId="0" borderId="1" xfId="0" applyNumberFormat="1" applyFont="1" applyBorder="1" applyAlignment="1" applyProtection="1">
      <alignment horizontal="center"/>
    </xf>
    <xf numFmtId="169" fontId="22" fillId="0" borderId="1" xfId="0" applyNumberFormat="1" applyFont="1" applyBorder="1" applyAlignment="1" applyProtection="1">
      <alignment horizontal="center" vertical="center"/>
    </xf>
    <xf numFmtId="169" fontId="10" fillId="0" borderId="7" xfId="0" applyNumberFormat="1" applyFont="1" applyBorder="1" applyAlignment="1" applyProtection="1">
      <alignment horizontal="center"/>
    </xf>
    <xf numFmtId="169" fontId="2" fillId="0" borderId="1" xfId="0" applyNumberFormat="1" applyFont="1" applyBorder="1" applyAlignment="1" applyProtection="1">
      <alignment horizontal="center"/>
    </xf>
    <xf numFmtId="169" fontId="2" fillId="0" borderId="1" xfId="0" applyNumberFormat="1" applyFont="1" applyFill="1" applyBorder="1" applyAlignment="1" applyProtection="1">
      <alignment horizontal="center"/>
    </xf>
    <xf numFmtId="169" fontId="2" fillId="0" borderId="1" xfId="2" applyNumberFormat="1" applyFont="1" applyFill="1" applyBorder="1" applyAlignment="1" applyProtection="1">
      <alignment horizontal="center"/>
    </xf>
    <xf numFmtId="169" fontId="2" fillId="0" borderId="6" xfId="0" applyNumberFormat="1" applyFont="1" applyBorder="1" applyAlignment="1" applyProtection="1">
      <alignment horizontal="center"/>
    </xf>
    <xf numFmtId="169" fontId="5" fillId="0" borderId="1" xfId="0" applyNumberFormat="1" applyFont="1" applyBorder="1" applyAlignment="1" applyProtection="1">
      <alignment horizontal="center" vertical="center"/>
    </xf>
    <xf numFmtId="169" fontId="6" fillId="6" borderId="7" xfId="0" applyNumberFormat="1" applyFont="1" applyFill="1" applyBorder="1" applyAlignment="1" applyProtection="1">
      <alignment horizontal="center" vertical="center"/>
    </xf>
    <xf numFmtId="169" fontId="2" fillId="0" borderId="1" xfId="0" applyNumberFormat="1" applyFont="1" applyFill="1" applyBorder="1" applyAlignment="1" applyProtection="1">
      <alignment horizontal="center" vertical="center"/>
    </xf>
    <xf numFmtId="169" fontId="2" fillId="0" borderId="6" xfId="0" applyNumberFormat="1" applyFont="1" applyBorder="1" applyAlignment="1" applyProtection="1">
      <alignment horizontal="center" vertical="center"/>
    </xf>
    <xf numFmtId="169" fontId="2" fillId="0" borderId="5" xfId="0" applyNumberFormat="1" applyFont="1" applyBorder="1" applyAlignment="1" applyProtection="1">
      <alignment horizontal="center" vertical="center"/>
    </xf>
    <xf numFmtId="169" fontId="14" fillId="6" borderId="1" xfId="0" applyNumberFormat="1" applyFont="1" applyFill="1" applyBorder="1" applyAlignment="1" applyProtection="1">
      <alignment horizontal="center" vertical="center"/>
    </xf>
    <xf numFmtId="169" fontId="2" fillId="5" borderId="1" xfId="0" applyNumberFormat="1" applyFont="1" applyFill="1" applyBorder="1" applyAlignment="1" applyProtection="1">
      <alignment horizontal="center" vertical="center"/>
    </xf>
    <xf numFmtId="169" fontId="2" fillId="6" borderId="7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2" fillId="6" borderId="1" xfId="0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left"/>
    </xf>
    <xf numFmtId="0" fontId="2" fillId="6" borderId="1" xfId="0" applyFont="1" applyFill="1" applyBorder="1" applyAlignment="1" applyProtection="1">
      <alignment horizontal="center" vertical="center"/>
    </xf>
    <xf numFmtId="169" fontId="5" fillId="0" borderId="1" xfId="0" applyNumberFormat="1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6" borderId="1" xfId="0" applyFont="1" applyFill="1" applyBorder="1" applyAlignment="1" applyProtection="1">
      <alignment horizontal="center" vertical="center"/>
    </xf>
    <xf numFmtId="0" fontId="2" fillId="6" borderId="1" xfId="0" applyFont="1" applyFill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left" vertical="center"/>
    </xf>
    <xf numFmtId="0" fontId="2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169" fontId="2" fillId="3" borderId="1" xfId="0" applyNumberFormat="1" applyFont="1" applyFill="1" applyBorder="1" applyAlignment="1" applyProtection="1">
      <alignment horizontal="center"/>
      <protection locked="0"/>
    </xf>
    <xf numFmtId="169" fontId="2" fillId="3" borderId="1" xfId="2" applyNumberFormat="1" applyFont="1" applyFill="1" applyBorder="1" applyAlignment="1" applyProtection="1">
      <alignment horizontal="center"/>
      <protection locked="0"/>
    </xf>
    <xf numFmtId="2" fontId="5" fillId="0" borderId="5" xfId="0" applyNumberFormat="1" applyFont="1" applyBorder="1" applyAlignment="1" applyProtection="1">
      <alignment horizontal="center" vertical="center"/>
    </xf>
    <xf numFmtId="169" fontId="2" fillId="3" borderId="1" xfId="0" applyNumberFormat="1" applyFont="1" applyFill="1" applyBorder="1" applyAlignment="1" applyProtection="1">
      <alignment horizontal="center" vertical="center"/>
      <protection locked="0"/>
    </xf>
    <xf numFmtId="167" fontId="2" fillId="0" borderId="1" xfId="0" applyNumberFormat="1" applyFont="1" applyBorder="1" applyAlignment="1" applyProtection="1">
      <alignment horizontal="center" vertical="center"/>
    </xf>
    <xf numFmtId="169" fontId="2" fillId="0" borderId="5" xfId="0" applyNumberFormat="1" applyFont="1" applyFill="1" applyBorder="1" applyAlignment="1" applyProtection="1">
      <alignment horizontal="center"/>
    </xf>
    <xf numFmtId="169" fontId="2" fillId="3" borderId="5" xfId="0" applyNumberFormat="1" applyFont="1" applyFill="1" applyBorder="1" applyAlignment="1" applyProtection="1">
      <alignment horizontal="center"/>
      <protection locked="0"/>
    </xf>
    <xf numFmtId="2" fontId="8" fillId="0" borderId="1" xfId="0" applyNumberFormat="1" applyFont="1" applyBorder="1" applyAlignment="1" applyProtection="1">
      <alignment horizontal="center" vertical="center"/>
    </xf>
    <xf numFmtId="169" fontId="2" fillId="0" borderId="5" xfId="0" applyNumberFormat="1" applyFont="1" applyFill="1" applyBorder="1" applyAlignment="1" applyProtection="1">
      <alignment horizontal="center" vertical="center"/>
    </xf>
    <xf numFmtId="169" fontId="2" fillId="5" borderId="6" xfId="0" applyNumberFormat="1" applyFont="1" applyFill="1" applyBorder="1" applyAlignment="1" applyProtection="1">
      <alignment horizontal="center" vertical="center"/>
    </xf>
    <xf numFmtId="169" fontId="2" fillId="3" borderId="5" xfId="0" applyNumberFormat="1" applyFont="1" applyFill="1" applyBorder="1" applyAlignment="1" applyProtection="1">
      <alignment horizontal="center" vertical="center"/>
      <protection locked="0"/>
    </xf>
    <xf numFmtId="1" fontId="22" fillId="7" borderId="7" xfId="0" applyNumberFormat="1" applyFont="1" applyFill="1" applyBorder="1" applyAlignment="1" applyProtection="1">
      <alignment horizontal="center" vertical="center"/>
    </xf>
    <xf numFmtId="168" fontId="22" fillId="7" borderId="7" xfId="0" applyNumberFormat="1" applyFont="1" applyFill="1" applyBorder="1" applyAlignment="1" applyProtection="1">
      <alignment horizontal="center"/>
    </xf>
    <xf numFmtId="169" fontId="2" fillId="0" borderId="1" xfId="0" applyNumberFormat="1" applyFont="1" applyBorder="1" applyAlignment="1">
      <alignment horizontal="center" vertical="center"/>
    </xf>
    <xf numFmtId="169" fontId="10" fillId="0" borderId="1" xfId="0" applyNumberFormat="1" applyFont="1" applyBorder="1" applyAlignment="1">
      <alignment horizontal="center"/>
    </xf>
    <xf numFmtId="0" fontId="28" fillId="4" borderId="0" xfId="1" applyFont="1" applyFill="1" applyBorder="1" applyAlignment="1">
      <alignment horizontal="center" vertical="center" wrapText="1"/>
    </xf>
    <xf numFmtId="0" fontId="28" fillId="4" borderId="0" xfId="1" applyFont="1" applyFill="1" applyBorder="1" applyAlignment="1">
      <alignment horizontal="center" vertical="center"/>
    </xf>
    <xf numFmtId="0" fontId="30" fillId="4" borderId="0" xfId="1" applyFont="1" applyFill="1" applyBorder="1" applyAlignment="1">
      <alignment horizontal="center" vertical="center" wrapText="1"/>
    </xf>
    <xf numFmtId="0" fontId="30" fillId="4" borderId="0" xfId="1" applyFont="1" applyFill="1" applyBorder="1" applyAlignment="1">
      <alignment horizontal="center" vertical="center"/>
    </xf>
    <xf numFmtId="0" fontId="27" fillId="4" borderId="0" xfId="0" applyFont="1" applyFill="1" applyAlignment="1">
      <alignment horizontal="center" vertical="center"/>
    </xf>
    <xf numFmtId="0" fontId="20" fillId="0" borderId="0" xfId="1" applyFont="1" applyAlignment="1" applyProtection="1">
      <alignment horizontal="left" vertical="center"/>
    </xf>
    <xf numFmtId="0" fontId="2" fillId="6" borderId="3" xfId="0" applyFont="1" applyFill="1" applyBorder="1" applyAlignment="1" applyProtection="1">
      <alignment horizontal="center" vertical="center"/>
    </xf>
    <xf numFmtId="0" fontId="2" fillId="6" borderId="4" xfId="0" applyFont="1" applyFill="1" applyBorder="1" applyAlignment="1" applyProtection="1">
      <alignment horizontal="center" vertical="center"/>
    </xf>
    <xf numFmtId="0" fontId="32" fillId="0" borderId="0" xfId="1" applyFont="1" applyAlignment="1" applyProtection="1">
      <alignment horizontal="center" vertical="center"/>
    </xf>
    <xf numFmtId="0" fontId="16" fillId="4" borderId="0" xfId="0" applyFont="1" applyFill="1" applyBorder="1" applyAlignment="1" applyProtection="1">
      <alignment horizontal="center" vertical="center"/>
    </xf>
    <xf numFmtId="0" fontId="20" fillId="6" borderId="0" xfId="1" applyFont="1" applyFill="1" applyAlignment="1" applyProtection="1">
      <alignment horizontal="center"/>
    </xf>
    <xf numFmtId="0" fontId="2" fillId="6" borderId="5" xfId="0" applyFont="1" applyFill="1" applyBorder="1" applyAlignment="1" applyProtection="1">
      <alignment horizontal="center" vertical="center"/>
    </xf>
    <xf numFmtId="0" fontId="11" fillId="4" borderId="0" xfId="0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horizontal="left" vertical="center"/>
    </xf>
    <xf numFmtId="0" fontId="2" fillId="6" borderId="1" xfId="0" applyFont="1" applyFill="1" applyBorder="1" applyAlignment="1" applyProtection="1">
      <alignment horizontal="center"/>
    </xf>
    <xf numFmtId="0" fontId="9" fillId="6" borderId="1" xfId="0" applyFont="1" applyFill="1" applyBorder="1" applyAlignment="1" applyProtection="1">
      <alignment horizontal="center" vertical="center"/>
    </xf>
    <xf numFmtId="0" fontId="2" fillId="6" borderId="1" xfId="0" applyFont="1" applyFill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left"/>
    </xf>
    <xf numFmtId="0" fontId="2" fillId="6" borderId="1" xfId="0" applyFont="1" applyFill="1" applyBorder="1" applyAlignment="1" applyProtection="1">
      <alignment horizontal="center" vertical="center"/>
    </xf>
    <xf numFmtId="0" fontId="18" fillId="0" borderId="0" xfId="1" applyFont="1" applyAlignment="1" applyProtection="1">
      <alignment horizontal="center" vertical="center"/>
    </xf>
    <xf numFmtId="0" fontId="23" fillId="4" borderId="3" xfId="0" applyFont="1" applyFill="1" applyBorder="1" applyAlignment="1" applyProtection="1">
      <alignment horizontal="center" vertical="center"/>
    </xf>
    <xf numFmtId="0" fontId="23" fillId="4" borderId="4" xfId="0" applyFont="1" applyFill="1" applyBorder="1" applyAlignment="1" applyProtection="1">
      <alignment horizontal="center" vertical="center"/>
    </xf>
    <xf numFmtId="0" fontId="23" fillId="4" borderId="5" xfId="0" applyFont="1" applyFill="1" applyBorder="1" applyAlignment="1" applyProtection="1">
      <alignment horizontal="center" vertical="center"/>
    </xf>
    <xf numFmtId="2" fontId="10" fillId="0" borderId="6" xfId="0" applyNumberFormat="1" applyFont="1" applyBorder="1" applyAlignment="1" applyProtection="1">
      <alignment horizontal="center" vertical="center"/>
    </xf>
    <xf numFmtId="2" fontId="10" fillId="0" borderId="8" xfId="0" applyNumberFormat="1" applyFont="1" applyBorder="1" applyAlignment="1" applyProtection="1">
      <alignment horizontal="center" vertical="center"/>
    </xf>
    <xf numFmtId="168" fontId="10" fillId="0" borderId="1" xfId="0" applyNumberFormat="1" applyFont="1" applyBorder="1" applyAlignment="1" applyProtection="1">
      <alignment horizontal="center" vertical="center"/>
    </xf>
    <xf numFmtId="0" fontId="9" fillId="6" borderId="3" xfId="0" applyFont="1" applyFill="1" applyBorder="1" applyAlignment="1" applyProtection="1">
      <alignment horizontal="center" vertical="center"/>
    </xf>
    <xf numFmtId="0" fontId="9" fillId="6" borderId="4" xfId="0" applyFont="1" applyFill="1" applyBorder="1" applyAlignment="1" applyProtection="1">
      <alignment horizontal="center" vertical="center"/>
    </xf>
    <xf numFmtId="0" fontId="9" fillId="6" borderId="5" xfId="0" applyFont="1" applyFill="1" applyBorder="1" applyAlignment="1" applyProtection="1">
      <alignment horizontal="center" vertical="center"/>
    </xf>
    <xf numFmtId="0" fontId="17" fillId="4" borderId="1" xfId="0" applyFont="1" applyFill="1" applyBorder="1" applyAlignment="1" applyProtection="1">
      <alignment horizontal="center" vertical="center" wrapText="1"/>
    </xf>
    <xf numFmtId="0" fontId="21" fillId="4" borderId="1" xfId="0" applyFont="1" applyFill="1" applyBorder="1" applyAlignment="1" applyProtection="1">
      <alignment horizontal="center" vertical="center" wrapText="1"/>
    </xf>
    <xf numFmtId="2" fontId="10" fillId="0" borderId="14" xfId="0" applyNumberFormat="1" applyFont="1" applyBorder="1" applyAlignment="1" applyProtection="1">
      <alignment horizontal="center" vertical="center"/>
    </xf>
    <xf numFmtId="2" fontId="10" fillId="0" borderId="15" xfId="0" applyNumberFormat="1" applyFont="1" applyBorder="1" applyAlignment="1" applyProtection="1">
      <alignment horizontal="center" vertical="center"/>
    </xf>
    <xf numFmtId="2" fontId="10" fillId="0" borderId="16" xfId="0" applyNumberFormat="1" applyFont="1" applyBorder="1" applyAlignment="1" applyProtection="1">
      <alignment horizontal="center" vertical="center"/>
    </xf>
    <xf numFmtId="0" fontId="21" fillId="4" borderId="3" xfId="0" applyFont="1" applyFill="1" applyBorder="1" applyAlignment="1" applyProtection="1">
      <alignment horizontal="center" vertical="center" wrapText="1"/>
    </xf>
    <xf numFmtId="0" fontId="21" fillId="4" borderId="5" xfId="0" applyFont="1" applyFill="1" applyBorder="1" applyAlignment="1" applyProtection="1">
      <alignment horizontal="center" vertical="center" wrapText="1"/>
    </xf>
    <xf numFmtId="166" fontId="22" fillId="0" borderId="3" xfId="0" applyNumberFormat="1" applyFont="1" applyBorder="1" applyAlignment="1" applyProtection="1">
      <alignment horizontal="center" vertical="center"/>
    </xf>
    <xf numFmtId="166" fontId="22" fillId="0" borderId="5" xfId="0" applyNumberFormat="1" applyFont="1" applyBorder="1" applyAlignment="1" applyProtection="1">
      <alignment horizontal="center" vertical="center"/>
    </xf>
    <xf numFmtId="169" fontId="22" fillId="0" borderId="3" xfId="0" applyNumberFormat="1" applyFont="1" applyBorder="1" applyAlignment="1" applyProtection="1">
      <alignment horizontal="center" vertical="center"/>
    </xf>
    <xf numFmtId="169" fontId="22" fillId="0" borderId="5" xfId="0" applyNumberFormat="1" applyFont="1" applyBorder="1" applyAlignment="1" applyProtection="1">
      <alignment horizontal="center" vertical="center"/>
    </xf>
    <xf numFmtId="168" fontId="10" fillId="0" borderId="7" xfId="0" applyNumberFormat="1" applyFont="1" applyBorder="1" applyAlignment="1" applyProtection="1">
      <alignment horizontal="center" vertical="center"/>
    </xf>
    <xf numFmtId="168" fontId="10" fillId="0" borderId="1" xfId="0" applyNumberFormat="1" applyFont="1" applyFill="1" applyBorder="1" applyAlignment="1" applyProtection="1">
      <alignment horizontal="center" vertical="center"/>
    </xf>
    <xf numFmtId="0" fontId="17" fillId="5" borderId="0" xfId="0" applyFont="1" applyFill="1" applyBorder="1" applyAlignment="1" applyProtection="1">
      <alignment horizontal="center" vertical="center" wrapText="1"/>
    </xf>
    <xf numFmtId="2" fontId="10" fillId="0" borderId="1" xfId="0" applyNumberFormat="1" applyFont="1" applyBorder="1" applyAlignment="1" applyProtection="1">
      <alignment horizontal="center" vertical="center"/>
    </xf>
    <xf numFmtId="3" fontId="22" fillId="0" borderId="1" xfId="3" applyNumberFormat="1" applyFont="1" applyFill="1" applyBorder="1" applyAlignment="1" applyProtection="1">
      <alignment horizontal="center" vertical="center"/>
    </xf>
    <xf numFmtId="0" fontId="23" fillId="4" borderId="17" xfId="0" applyFont="1" applyFill="1" applyBorder="1" applyAlignment="1" applyProtection="1">
      <alignment horizontal="center" vertical="center"/>
    </xf>
    <xf numFmtId="0" fontId="23" fillId="4" borderId="0" xfId="0" applyFont="1" applyFill="1" applyBorder="1" applyAlignment="1" applyProtection="1">
      <alignment horizontal="center" vertical="center"/>
    </xf>
    <xf numFmtId="0" fontId="2" fillId="0" borderId="0" xfId="0" applyFont="1" applyAlignment="1" applyProtection="1">
      <alignment horizontal="left"/>
    </xf>
    <xf numFmtId="0" fontId="2" fillId="6" borderId="3" xfId="0" applyFont="1" applyFill="1" applyBorder="1" applyAlignment="1" applyProtection="1">
      <alignment horizontal="center" vertical="center" wrapText="1"/>
    </xf>
    <xf numFmtId="0" fontId="2" fillId="6" borderId="4" xfId="0" applyFont="1" applyFill="1" applyBorder="1" applyAlignment="1" applyProtection="1">
      <alignment horizontal="center" vertical="center" wrapText="1"/>
    </xf>
    <xf numFmtId="0" fontId="2" fillId="6" borderId="5" xfId="0" applyFont="1" applyFill="1" applyBorder="1" applyAlignment="1" applyProtection="1">
      <alignment horizontal="center" vertical="center" wrapText="1"/>
    </xf>
    <xf numFmtId="0" fontId="2" fillId="6" borderId="3" xfId="0" applyFont="1" applyFill="1" applyBorder="1" applyAlignment="1" applyProtection="1">
      <alignment horizontal="center"/>
    </xf>
    <xf numFmtId="0" fontId="2" fillId="6" borderId="4" xfId="0" applyFont="1" applyFill="1" applyBorder="1" applyAlignment="1" applyProtection="1">
      <alignment horizontal="center"/>
    </xf>
    <xf numFmtId="0" fontId="2" fillId="6" borderId="5" xfId="0" applyFont="1" applyFill="1" applyBorder="1" applyAlignment="1" applyProtection="1">
      <alignment horizontal="center"/>
    </xf>
    <xf numFmtId="0" fontId="2" fillId="0" borderId="3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/>
    </xf>
    <xf numFmtId="0" fontId="2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5" fillId="6" borderId="1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left" vertical="center"/>
    </xf>
    <xf numFmtId="0" fontId="20" fillId="6" borderId="0" xfId="1" applyFont="1" applyFill="1" applyAlignment="1" applyProtection="1">
      <alignment horizontal="center" vertical="center"/>
    </xf>
    <xf numFmtId="0" fontId="20" fillId="0" borderId="0" xfId="1" applyFont="1" applyAlignment="1" applyProtection="1">
      <alignment horizontal="left"/>
    </xf>
    <xf numFmtId="0" fontId="5" fillId="6" borderId="1" xfId="0" applyFont="1" applyFill="1" applyBorder="1" applyAlignment="1" applyProtection="1">
      <alignment horizontal="center" vertical="center" wrapText="1"/>
    </xf>
    <xf numFmtId="169" fontId="5" fillId="0" borderId="1" xfId="0" applyNumberFormat="1" applyFont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0" fontId="18" fillId="0" borderId="0" xfId="1" applyFont="1" applyAlignment="1" applyProtection="1">
      <alignment horizontal="center"/>
    </xf>
    <xf numFmtId="0" fontId="33" fillId="0" borderId="0" xfId="1" applyFont="1" applyAlignment="1" applyProtection="1">
      <alignment horizontal="center" vertical="center"/>
    </xf>
    <xf numFmtId="0" fontId="11" fillId="4" borderId="0" xfId="0" applyFont="1" applyFill="1" applyBorder="1" applyAlignment="1" applyProtection="1">
      <alignment horizontal="center" vertical="center" wrapText="1"/>
    </xf>
    <xf numFmtId="0" fontId="2" fillId="6" borderId="9" xfId="0" applyFont="1" applyFill="1" applyBorder="1" applyAlignment="1" applyProtection="1">
      <alignment horizontal="center" vertical="center" wrapText="1"/>
    </xf>
    <xf numFmtId="0" fontId="2" fillId="6" borderId="11" xfId="0" applyFont="1" applyFill="1" applyBorder="1" applyAlignment="1" applyProtection="1">
      <alignment horizontal="center" vertical="center" wrapText="1"/>
    </xf>
    <xf numFmtId="0" fontId="2" fillId="6" borderId="12" xfId="0" applyFont="1" applyFill="1" applyBorder="1" applyAlignment="1" applyProtection="1">
      <alignment horizontal="center" vertical="center" wrapText="1"/>
    </xf>
    <xf numFmtId="0" fontId="2" fillId="6" borderId="13" xfId="0" applyFont="1" applyFill="1" applyBorder="1" applyAlignment="1" applyProtection="1">
      <alignment horizontal="center" vertical="center" wrapText="1"/>
    </xf>
    <xf numFmtId="0" fontId="3" fillId="6" borderId="1" xfId="0" applyFont="1" applyFill="1" applyBorder="1" applyAlignment="1" applyProtection="1">
      <alignment horizontal="center"/>
    </xf>
    <xf numFmtId="0" fontId="3" fillId="0" borderId="1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166" fontId="3" fillId="0" borderId="3" xfId="0" applyNumberFormat="1" applyFont="1" applyBorder="1" applyAlignment="1" applyProtection="1">
      <alignment horizontal="center" vertical="center"/>
    </xf>
    <xf numFmtId="166" fontId="3" fillId="0" borderId="4" xfId="0" applyNumberFormat="1" applyFont="1" applyBorder="1" applyAlignment="1" applyProtection="1">
      <alignment horizontal="center" vertical="center"/>
    </xf>
    <xf numFmtId="166" fontId="3" fillId="0" borderId="5" xfId="0" applyNumberFormat="1" applyFont="1" applyBorder="1" applyAlignment="1" applyProtection="1">
      <alignment horizontal="center" vertical="center"/>
    </xf>
    <xf numFmtId="0" fontId="2" fillId="6" borderId="6" xfId="0" applyFont="1" applyFill="1" applyBorder="1" applyAlignment="1" applyProtection="1">
      <alignment horizontal="center" vertical="center" wrapText="1"/>
    </xf>
    <xf numFmtId="0" fontId="2" fillId="6" borderId="7" xfId="0" applyFont="1" applyFill="1" applyBorder="1" applyAlignment="1" applyProtection="1">
      <alignment horizontal="center" vertical="center" wrapText="1"/>
    </xf>
    <xf numFmtId="0" fontId="2" fillId="6" borderId="10" xfId="0" applyFont="1" applyFill="1" applyBorder="1" applyAlignment="1" applyProtection="1">
      <alignment horizontal="center" vertical="center" wrapText="1"/>
    </xf>
    <xf numFmtId="0" fontId="36" fillId="0" borderId="0" xfId="1" quotePrefix="1" applyFont="1" applyProtection="1"/>
    <xf numFmtId="0" fontId="7" fillId="0" borderId="0" xfId="1" quotePrefix="1" applyFont="1" applyAlignment="1" applyProtection="1">
      <alignment horizontal="left" vertical="center"/>
    </xf>
    <xf numFmtId="0" fontId="2" fillId="6" borderId="17" xfId="0" applyFont="1" applyFill="1" applyBorder="1" applyAlignment="1" applyProtection="1">
      <alignment horizontal="center" vertical="center" wrapText="1"/>
    </xf>
    <xf numFmtId="0" fontId="2" fillId="6" borderId="0" xfId="0" applyFont="1" applyFill="1" applyBorder="1" applyAlignment="1" applyProtection="1">
      <alignment horizontal="center" vertical="center" wrapText="1"/>
    </xf>
    <xf numFmtId="0" fontId="2" fillId="6" borderId="19" xfId="0" applyFont="1" applyFill="1" applyBorder="1" applyAlignment="1" applyProtection="1">
      <alignment horizontal="center" vertical="center" wrapText="1"/>
    </xf>
    <xf numFmtId="0" fontId="25" fillId="0" borderId="0" xfId="1" quotePrefix="1" applyFont="1" applyProtection="1"/>
    <xf numFmtId="0" fontId="3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2" fillId="6" borderId="2" xfId="0" applyFont="1" applyFill="1" applyBorder="1" applyAlignment="1" applyProtection="1">
      <alignment horizontal="center" vertical="center" wrapText="1"/>
    </xf>
    <xf numFmtId="0" fontId="2" fillId="6" borderId="3" xfId="0" applyFont="1" applyFill="1" applyBorder="1" applyAlignment="1" applyProtection="1">
      <alignment horizontal="left" vertical="center"/>
    </xf>
    <xf numFmtId="0" fontId="2" fillId="6" borderId="4" xfId="0" applyFont="1" applyFill="1" applyBorder="1" applyAlignment="1" applyProtection="1">
      <alignment horizontal="left" vertical="center"/>
    </xf>
    <xf numFmtId="0" fontId="2" fillId="6" borderId="5" xfId="0" applyFont="1" applyFill="1" applyBorder="1" applyAlignment="1" applyProtection="1">
      <alignment horizontal="left" vertical="center"/>
    </xf>
    <xf numFmtId="0" fontId="15" fillId="4" borderId="0" xfId="0" applyFont="1" applyFill="1" applyBorder="1" applyAlignment="1" applyProtection="1">
      <alignment horizontal="center" vertical="center"/>
    </xf>
    <xf numFmtId="0" fontId="36" fillId="0" borderId="0" xfId="1" quotePrefix="1" applyFont="1" applyAlignment="1" applyProtection="1">
      <alignment horizontal="left" vertical="center"/>
    </xf>
    <xf numFmtId="0" fontId="19" fillId="6" borderId="0" xfId="1" applyFont="1" applyFill="1" applyAlignment="1" applyProtection="1">
      <alignment horizontal="center" vertical="center"/>
    </xf>
    <xf numFmtId="0" fontId="0" fillId="0" borderId="0" xfId="0" quotePrefix="1" applyProtection="1"/>
    <xf numFmtId="0" fontId="24" fillId="6" borderId="1" xfId="0" applyFont="1" applyFill="1" applyBorder="1" applyAlignment="1" applyProtection="1">
      <alignment horizontal="center" vertical="center"/>
    </xf>
    <xf numFmtId="0" fontId="2" fillId="6" borderId="8" xfId="0" applyFont="1" applyFill="1" applyBorder="1" applyAlignment="1" applyProtection="1">
      <alignment horizontal="center" vertical="center" wrapText="1"/>
    </xf>
    <xf numFmtId="0" fontId="13" fillId="6" borderId="9" xfId="0" applyFont="1" applyFill="1" applyBorder="1" applyAlignment="1" applyProtection="1">
      <alignment horizontal="center" vertical="center" wrapText="1"/>
    </xf>
    <xf numFmtId="0" fontId="13" fillId="6" borderId="10" xfId="0" applyFont="1" applyFill="1" applyBorder="1" applyAlignment="1" applyProtection="1">
      <alignment horizontal="center" vertical="center" wrapText="1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169" fontId="13" fillId="0" borderId="6" xfId="0" applyNumberFormat="1" applyFont="1" applyBorder="1" applyAlignment="1" applyProtection="1">
      <alignment horizontal="center" vertical="center"/>
    </xf>
    <xf numFmtId="169" fontId="13" fillId="0" borderId="7" xfId="0" applyNumberFormat="1" applyFont="1" applyBorder="1" applyAlignment="1" applyProtection="1">
      <alignment horizontal="center" vertical="center"/>
    </xf>
    <xf numFmtId="0" fontId="26" fillId="0" borderId="0" xfId="1" quotePrefix="1" applyFont="1" applyAlignment="1" applyProtection="1">
      <alignment vertical="center"/>
    </xf>
    <xf numFmtId="0" fontId="5" fillId="6" borderId="3" xfId="0" applyFont="1" applyFill="1" applyBorder="1" applyAlignment="1" applyProtection="1">
      <alignment horizontal="center" vertical="center"/>
    </xf>
    <xf numFmtId="0" fontId="5" fillId="6" borderId="5" xfId="0" applyFont="1" applyFill="1" applyBorder="1" applyAlignment="1" applyProtection="1">
      <alignment horizontal="center" vertical="center"/>
    </xf>
    <xf numFmtId="169" fontId="5" fillId="0" borderId="3" xfId="0" applyNumberFormat="1" applyFont="1" applyBorder="1" applyAlignment="1" applyProtection="1">
      <alignment horizontal="center" vertical="center"/>
    </xf>
    <xf numFmtId="169" fontId="5" fillId="0" borderId="5" xfId="0" applyNumberFormat="1" applyFont="1" applyBorder="1" applyAlignment="1" applyProtection="1">
      <alignment horizontal="center" vertical="center"/>
    </xf>
    <xf numFmtId="0" fontId="36" fillId="0" borderId="0" xfId="1" applyFont="1" applyAlignment="1" applyProtection="1">
      <alignment vertical="center"/>
    </xf>
    <xf numFmtId="0" fontId="37" fillId="6" borderId="1" xfId="0" applyFont="1" applyFill="1" applyBorder="1" applyAlignment="1" applyProtection="1">
      <alignment horizontal="center" vertical="center" wrapText="1"/>
    </xf>
    <xf numFmtId="169" fontId="6" fillId="6" borderId="3" xfId="0" applyNumberFormat="1" applyFont="1" applyFill="1" applyBorder="1" applyAlignment="1" applyProtection="1">
      <alignment horizontal="center" vertical="center"/>
    </xf>
    <xf numFmtId="169" fontId="6" fillId="6" borderId="5" xfId="0" applyNumberFormat="1" applyFont="1" applyFill="1" applyBorder="1" applyAlignment="1" applyProtection="1">
      <alignment horizontal="center" vertical="center"/>
    </xf>
    <xf numFmtId="0" fontId="31" fillId="0" borderId="0" xfId="1" applyFont="1" applyAlignment="1" applyProtection="1">
      <alignment vertical="center"/>
    </xf>
    <xf numFmtId="0" fontId="2" fillId="0" borderId="1" xfId="0" applyFont="1" applyBorder="1" applyAlignment="1" applyProtection="1">
      <alignment horizontal="center" vertical="center"/>
    </xf>
    <xf numFmtId="0" fontId="2" fillId="6" borderId="7" xfId="0" applyFont="1" applyFill="1" applyBorder="1" applyAlignment="1" applyProtection="1">
      <alignment horizontal="center" vertical="center"/>
    </xf>
    <xf numFmtId="0" fontId="3" fillId="6" borderId="1" xfId="0" applyFont="1" applyFill="1" applyBorder="1" applyAlignment="1" applyProtection="1">
      <alignment horizontal="center" vertical="center"/>
    </xf>
    <xf numFmtId="0" fontId="2" fillId="6" borderId="9" xfId="0" applyFont="1" applyFill="1" applyBorder="1" applyAlignment="1" applyProtection="1">
      <alignment horizontal="center" vertical="center"/>
    </xf>
    <xf numFmtId="0" fontId="2" fillId="6" borderId="11" xfId="0" applyFont="1" applyFill="1" applyBorder="1" applyAlignment="1" applyProtection="1">
      <alignment horizontal="center" vertical="center"/>
    </xf>
    <xf numFmtId="0" fontId="2" fillId="6" borderId="12" xfId="0" applyFont="1" applyFill="1" applyBorder="1" applyAlignment="1" applyProtection="1">
      <alignment horizontal="center" vertical="center"/>
    </xf>
    <xf numFmtId="0" fontId="2" fillId="6" borderId="13" xfId="0" applyFont="1" applyFill="1" applyBorder="1" applyAlignment="1" applyProtection="1">
      <alignment horizontal="center" vertical="center"/>
    </xf>
  </cellXfs>
  <cellStyles count="5">
    <cellStyle name="Hiperłącze" xfId="1" builtinId="8"/>
    <cellStyle name="Normalny" xfId="0" builtinId="0"/>
    <cellStyle name="Procentowy" xfId="3" builtinId="5"/>
    <cellStyle name="Walutowy" xfId="2" builtinId="4"/>
    <cellStyle name="Walutowy 2" xfId="4" xr:uid="{00000000-0005-0000-0000-000004000000}"/>
  </cellStyles>
  <dxfs count="0"/>
  <tableStyles count="0" defaultTableStyle="TableStyleMedium2" defaultPivotStyle="PivotStyleLight16"/>
  <colors>
    <mruColors>
      <color rgb="FF00B0F1"/>
      <color rgb="FF0071C1"/>
      <color rgb="FF0066FF"/>
      <color rgb="FFED7D31"/>
      <color rgb="FF0087E2"/>
      <color rgb="FF7030A0"/>
      <color rgb="FF70FFFF"/>
      <color rgb="FF3BB0FF"/>
      <color rgb="FF8FC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png"/><Relationship Id="rId5" Type="http://schemas.openxmlformats.org/officeDocument/2006/relationships/image" Target="../media/image1.jpeg"/><Relationship Id="rId4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6.emf"/><Relationship Id="rId1" Type="http://schemas.openxmlformats.org/officeDocument/2006/relationships/image" Target="../media/image10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11.png"/><Relationship Id="rId1" Type="http://schemas.openxmlformats.org/officeDocument/2006/relationships/image" Target="../media/image7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40824</xdr:colOff>
      <xdr:row>0</xdr:row>
      <xdr:rowOff>0</xdr:rowOff>
    </xdr:from>
    <xdr:to>
      <xdr:col>18</xdr:col>
      <xdr:colOff>513066</xdr:colOff>
      <xdr:row>5</xdr:row>
      <xdr:rowOff>186344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BD95554-8527-4EB4-90F5-F8E3A4D85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5" y="0"/>
          <a:ext cx="10976957" cy="11388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503464</xdr:colOff>
      <xdr:row>19</xdr:row>
      <xdr:rowOff>27215</xdr:rowOff>
    </xdr:from>
    <xdr:ext cx="966107" cy="98693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39785" y="3891644"/>
          <a:ext cx="966107" cy="986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321469</xdr:colOff>
      <xdr:row>43</xdr:row>
      <xdr:rowOff>83344</xdr:rowOff>
    </xdr:from>
    <xdr:to>
      <xdr:col>4</xdr:col>
      <xdr:colOff>559594</xdr:colOff>
      <xdr:row>49</xdr:row>
      <xdr:rowOff>120149</xdr:rowOff>
    </xdr:to>
    <xdr:pic>
      <xdr:nvPicPr>
        <xdr:cNvPr id="9" name="Obraz 8" descr="http://www.alfaseal.pl/GRAFIKI_WWW_500pix/INTU_FR_COLLAR/INTU_FR_COLLAR_1_500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4594" y="8393907"/>
          <a:ext cx="1059656" cy="1036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6</xdr:row>
      <xdr:rowOff>107471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A27CDC35-EF76-458A-9778-1ADA3DC3D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390529" cy="111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12</xdr:col>
      <xdr:colOff>140869</xdr:colOff>
      <xdr:row>7</xdr:row>
      <xdr:rowOff>40668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09FEE9C-6BA1-4901-BB72-D55DD0300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118" y="0"/>
          <a:ext cx="10976957" cy="11388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12</xdr:col>
      <xdr:colOff>577898</xdr:colOff>
      <xdr:row>7</xdr:row>
      <xdr:rowOff>40668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B995BD80-458B-430C-B44F-B8A901837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65" y="0"/>
          <a:ext cx="10976957" cy="11388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13</xdr:col>
      <xdr:colOff>252928</xdr:colOff>
      <xdr:row>7</xdr:row>
      <xdr:rowOff>40668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C8ACE901-B834-46C0-925C-110CD0D60B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65" y="0"/>
          <a:ext cx="10976957" cy="113884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172895</xdr:colOff>
      <xdr:row>23</xdr:row>
      <xdr:rowOff>22570</xdr:rowOff>
    </xdr:from>
    <xdr:to>
      <xdr:col>7</xdr:col>
      <xdr:colOff>451834</xdr:colOff>
      <xdr:row>28</xdr:row>
      <xdr:rowOff>116167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0495" y="3746845"/>
          <a:ext cx="1709230" cy="112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172085</xdr:colOff>
      <xdr:row>143</xdr:row>
      <xdr:rowOff>89647</xdr:rowOff>
    </xdr:from>
    <xdr:to>
      <xdr:col>5</xdr:col>
      <xdr:colOff>667452</xdr:colOff>
      <xdr:row>149</xdr:row>
      <xdr:rowOff>123265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056" y="31522147"/>
          <a:ext cx="1351916" cy="1042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282791</xdr:colOff>
      <xdr:row>113</xdr:row>
      <xdr:rowOff>94909</xdr:rowOff>
    </xdr:from>
    <xdr:ext cx="1430009" cy="863152"/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112" y="32289409"/>
          <a:ext cx="1430009" cy="863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287338</xdr:colOff>
      <xdr:row>85</xdr:row>
      <xdr:rowOff>11907</xdr:rowOff>
    </xdr:from>
    <xdr:to>
      <xdr:col>6</xdr:col>
      <xdr:colOff>131900</xdr:colOff>
      <xdr:row>90</xdr:row>
      <xdr:rowOff>108709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60738" y="17639507"/>
          <a:ext cx="1444762" cy="98580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14</xdr:col>
      <xdr:colOff>397857</xdr:colOff>
      <xdr:row>6</xdr:row>
      <xdr:rowOff>72044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60D6B4F2-66B1-422B-A4E1-EAB559A42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0" y="0"/>
          <a:ext cx="10976957" cy="113884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54430</xdr:colOff>
      <xdr:row>25</xdr:row>
      <xdr:rowOff>54430</xdr:rowOff>
    </xdr:from>
    <xdr:to>
      <xdr:col>8</xdr:col>
      <xdr:colOff>374488</xdr:colOff>
      <xdr:row>30</xdr:row>
      <xdr:rowOff>93058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4068537"/>
          <a:ext cx="1832052" cy="1070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73</xdr:row>
      <xdr:rowOff>56031</xdr:rowOff>
    </xdr:from>
    <xdr:to>
      <xdr:col>5</xdr:col>
      <xdr:colOff>744697</xdr:colOff>
      <xdr:row>79</xdr:row>
      <xdr:rowOff>89651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8853" y="10230972"/>
          <a:ext cx="1351916" cy="1042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15</xdr:col>
      <xdr:colOff>249426</xdr:colOff>
      <xdr:row>6</xdr:row>
      <xdr:rowOff>138719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53E6C6D-D17B-4180-9F7D-DFA4FD465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9" y="0"/>
          <a:ext cx="10976957" cy="11388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231322</xdr:colOff>
      <xdr:row>51</xdr:row>
      <xdr:rowOff>136072</xdr:rowOff>
    </xdr:from>
    <xdr:ext cx="1430009" cy="863152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0965" y="15226393"/>
          <a:ext cx="1430009" cy="863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381000</xdr:colOff>
      <xdr:row>97</xdr:row>
      <xdr:rowOff>0</xdr:rowOff>
    </xdr:from>
    <xdr:to>
      <xdr:col>5</xdr:col>
      <xdr:colOff>607219</xdr:colOff>
      <xdr:row>103</xdr:row>
      <xdr:rowOff>61976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512344" y="13882688"/>
          <a:ext cx="1154906" cy="1062101"/>
        </a:xfrm>
        <a:prstGeom prst="rect">
          <a:avLst/>
        </a:prstGeom>
      </xdr:spPr>
    </xdr:pic>
    <xdr:clientData/>
  </xdr:twoCellAnchor>
  <xdr:oneCellAnchor>
    <xdr:from>
      <xdr:col>4</xdr:col>
      <xdr:colOff>231322</xdr:colOff>
      <xdr:row>23</xdr:row>
      <xdr:rowOff>136072</xdr:rowOff>
    </xdr:from>
    <xdr:ext cx="1430009" cy="863152"/>
    <xdr:pic>
      <xdr:nvPicPr>
        <xdr:cNvPr id="5" name="Obraz 4">
          <a:extLst>
            <a:ext uri="{FF2B5EF4-FFF2-40B4-BE49-F238E27FC236}">
              <a16:creationId xmlns:a16="http://schemas.microsoft.com/office/drawing/2014/main" id="{20D02111-6C5A-4799-9D3B-DF1D58D7C4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666" y="14828385"/>
          <a:ext cx="1430009" cy="863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0</xdr:colOff>
      <xdr:row>0</xdr:row>
      <xdr:rowOff>0</xdr:rowOff>
    </xdr:from>
    <xdr:to>
      <xdr:col>14</xdr:col>
      <xdr:colOff>928082</xdr:colOff>
      <xdr:row>6</xdr:row>
      <xdr:rowOff>138719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568235D5-111E-48FE-83F2-2AF0A3ADA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0"/>
          <a:ext cx="10976957" cy="11388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0</xdr:rowOff>
    </xdr:from>
    <xdr:to>
      <xdr:col>13</xdr:col>
      <xdr:colOff>477046</xdr:colOff>
      <xdr:row>6</xdr:row>
      <xdr:rowOff>130315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FCACFF18-5F43-4BAC-B33D-663C6E60F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60" y="0"/>
          <a:ext cx="10976957" cy="11388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5">
    <tabColor theme="1" tint="0.14999847407452621"/>
  </sheetPr>
  <dimension ref="A7:T32"/>
  <sheetViews>
    <sheetView showGridLines="0" tabSelected="1" zoomScale="70" zoomScaleNormal="70" workbookViewId="0">
      <selection activeCell="A3" sqref="A3"/>
    </sheetView>
  </sheetViews>
  <sheetFormatPr defaultColWidth="0" defaultRowHeight="15" x14ac:dyDescent="0.25"/>
  <cols>
    <col min="1" max="17" width="9.140625" customWidth="1"/>
    <col min="18" max="18" width="10.5703125" customWidth="1"/>
    <col min="19" max="20" width="9.140625" customWidth="1"/>
    <col min="21" max="16384" width="9.140625" hidden="1"/>
  </cols>
  <sheetData>
    <row r="7" spans="3:19" s="17" customFormat="1" x14ac:dyDescent="0.25"/>
    <row r="8" spans="3:19" s="17" customFormat="1" ht="18" customHeight="1" x14ac:dyDescent="0.25">
      <c r="N8" s="216" t="s">
        <v>63</v>
      </c>
      <c r="O8" s="216"/>
      <c r="P8" s="103" t="s">
        <v>268</v>
      </c>
      <c r="Q8" s="216" t="s">
        <v>269</v>
      </c>
      <c r="R8" s="216"/>
    </row>
    <row r="10" spans="3:19" ht="84" customHeight="1" x14ac:dyDescent="0.25">
      <c r="C10" s="212" t="s">
        <v>67</v>
      </c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0"/>
    </row>
    <row r="11" spans="3:19" ht="15" customHeight="1" x14ac:dyDescent="0.3"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20"/>
    </row>
    <row r="12" spans="3:19" ht="57" customHeight="1" x14ac:dyDescent="0.25">
      <c r="C12" s="212" t="s">
        <v>64</v>
      </c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0"/>
    </row>
    <row r="13" spans="3:19" ht="15" customHeight="1" x14ac:dyDescent="0.3"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20"/>
    </row>
    <row r="14" spans="3:19" s="17" customFormat="1" ht="57" customHeight="1" x14ac:dyDescent="0.25">
      <c r="C14" s="212" t="s">
        <v>65</v>
      </c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0"/>
    </row>
    <row r="15" spans="3:19" s="17" customFormat="1" ht="15" customHeight="1" x14ac:dyDescent="0.3"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20"/>
    </row>
    <row r="16" spans="3:19" s="17" customFormat="1" ht="57" customHeight="1" x14ac:dyDescent="0.25">
      <c r="C16" s="212" t="s">
        <v>66</v>
      </c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0"/>
    </row>
    <row r="17" spans="3:19" s="17" customFormat="1" ht="15" customHeight="1" x14ac:dyDescent="0.3"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20"/>
    </row>
    <row r="18" spans="3:19" s="15" customFormat="1" ht="122.25" customHeight="1" x14ac:dyDescent="0.25">
      <c r="C18" s="214" t="s">
        <v>68</v>
      </c>
      <c r="D18" s="215"/>
      <c r="E18" s="215"/>
      <c r="F18" s="215"/>
      <c r="G18" s="215"/>
      <c r="H18" s="215"/>
      <c r="I18" s="215"/>
      <c r="J18" s="215"/>
      <c r="K18" s="215"/>
      <c r="L18" s="215"/>
      <c r="M18" s="215"/>
      <c r="N18" s="215"/>
      <c r="O18" s="215"/>
      <c r="P18" s="215"/>
      <c r="Q18" s="215"/>
      <c r="R18" s="215"/>
      <c r="S18" s="20"/>
    </row>
    <row r="19" spans="3:19" s="14" customFormat="1" ht="15" customHeight="1" x14ac:dyDescent="0.3">
      <c r="C19" s="19"/>
      <c r="D19" s="19"/>
      <c r="E19" s="19"/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20"/>
    </row>
    <row r="20" spans="3:19" ht="107.25" customHeight="1" x14ac:dyDescent="0.25">
      <c r="C20" s="212" t="s">
        <v>69</v>
      </c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0"/>
    </row>
    <row r="21" spans="3:19" ht="15" customHeight="1" x14ac:dyDescent="0.3"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20"/>
    </row>
    <row r="22" spans="3:19" ht="83.25" customHeight="1" x14ac:dyDescent="0.25">
      <c r="C22" s="212" t="s">
        <v>70</v>
      </c>
      <c r="D22" s="212"/>
      <c r="E22" s="212"/>
      <c r="F22" s="212"/>
      <c r="G22" s="212"/>
      <c r="H22" s="212"/>
      <c r="I22" s="212"/>
      <c r="J22" s="212"/>
      <c r="K22" s="212"/>
      <c r="L22" s="212"/>
      <c r="M22" s="212"/>
      <c r="N22" s="212"/>
      <c r="O22" s="212"/>
      <c r="P22" s="212"/>
      <c r="Q22" s="212"/>
      <c r="R22" s="212"/>
      <c r="S22" s="20"/>
    </row>
    <row r="24" spans="3:19" s="17" customFormat="1" ht="83.25" customHeight="1" x14ac:dyDescent="0.25">
      <c r="C24" s="212" t="s">
        <v>71</v>
      </c>
      <c r="D24" s="212"/>
      <c r="E24" s="212"/>
      <c r="F24" s="212"/>
      <c r="G24" s="212"/>
      <c r="H24" s="212"/>
      <c r="I24" s="212"/>
      <c r="J24" s="212"/>
      <c r="K24" s="212"/>
      <c r="L24" s="212"/>
      <c r="M24" s="212"/>
      <c r="N24" s="212"/>
      <c r="O24" s="212"/>
      <c r="P24" s="212"/>
      <c r="Q24" s="212"/>
      <c r="R24" s="212"/>
      <c r="S24" s="20"/>
    </row>
    <row r="32" spans="3:19" x14ac:dyDescent="0.25">
      <c r="H32" s="18"/>
    </row>
  </sheetData>
  <sheetProtection algorithmName="SHA-512" hashValue="Dj1gUGUcoVGMZohauxxvcttx7R2UAX0hIKdhQQsqHFzM91YXZHfh5xhsydPvqe2dJPak0jODEJDqHsBS1Hg5EQ==" saltValue="z6NsZcIoXYpdwXQKYgd0og==" spinCount="100000" sheet="1" objects="1" scenarios="1"/>
  <mergeCells count="10">
    <mergeCell ref="C24:R24"/>
    <mergeCell ref="C22:R22"/>
    <mergeCell ref="C12:R12"/>
    <mergeCell ref="C18:R18"/>
    <mergeCell ref="N8:O8"/>
    <mergeCell ref="Q8:R8"/>
    <mergeCell ref="C10:R10"/>
    <mergeCell ref="C20:R20"/>
    <mergeCell ref="C16:R16"/>
    <mergeCell ref="C14:R14"/>
  </mergeCells>
  <hyperlinks>
    <hyperlink ref="C22:R22" location="'DYLATACJE I SZCZELINY'!A1" display="DYLATACJE I SZCZELINY" xr:uid="{00000000-0004-0000-0000-000000000000}"/>
    <hyperlink ref="C12:R12" location="'2A'!A1" display="'2A'!A1" xr:uid="{00000000-0004-0000-0000-000001000000}"/>
    <hyperlink ref="C20:R20" location="'4'!A1" display="KABLE, WIĄZKI, KORYTA" xr:uid="{00000000-0004-0000-0000-000002000000}"/>
    <hyperlink ref="C22:R22" location="'5'!A1" display="DYLATACJE I SZCZELINY" xr:uid="{00000000-0004-0000-0000-000003000000}"/>
    <hyperlink ref="C10:R10" location="'1'!A1" display="RURY PALNE - kołnierz, opaski" xr:uid="{00000000-0004-0000-0000-000004000000}"/>
    <hyperlink ref="C18:R18" location="'3'!A1" display="'3'!A1" xr:uid="{00000000-0004-0000-0000-000005000000}"/>
    <hyperlink ref="C24:R24" location="'6'!A1" display="'6'!A1" xr:uid="{00000000-0004-0000-0000-000006000000}"/>
    <hyperlink ref="C16:R16" location="'2C'!A1" display="'2C'!A1" xr:uid="{00000000-0004-0000-0000-000007000000}"/>
    <hyperlink ref="C14:R14" location="'2B'!A1" display="'2B'!A1" xr:uid="{B5D2A8B1-A421-445C-8370-186259B7749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1">
    <tabColor theme="1" tint="0.34998626667073579"/>
    <pageSetUpPr fitToPage="1"/>
  </sheetPr>
  <dimension ref="A5:Q92"/>
  <sheetViews>
    <sheetView showGridLines="0" zoomScale="85" zoomScaleNormal="85" workbookViewId="0">
      <selection activeCell="A8" sqref="A8"/>
    </sheetView>
  </sheetViews>
  <sheetFormatPr defaultColWidth="0" defaultRowHeight="14.1" customHeight="1" x14ac:dyDescent="0.2"/>
  <cols>
    <col min="1" max="1" width="7.5703125" style="21" customWidth="1"/>
    <col min="2" max="2" width="12.28515625" style="22" customWidth="1"/>
    <col min="3" max="6" width="12.28515625" style="23" customWidth="1"/>
    <col min="7" max="7" width="12.28515625" style="22" customWidth="1"/>
    <col min="8" max="8" width="15.85546875" style="22" customWidth="1"/>
    <col min="9" max="9" width="17.5703125" style="23" customWidth="1"/>
    <col min="10" max="10" width="14.5703125" style="24" customWidth="1"/>
    <col min="11" max="11" width="11.5703125" style="21" customWidth="1"/>
    <col min="12" max="13" width="9.140625" style="21" hidden="1" customWidth="1"/>
    <col min="14" max="17" width="0" style="21" hidden="1" customWidth="1"/>
    <col min="18" max="16384" width="9.140625" style="21" hidden="1"/>
  </cols>
  <sheetData>
    <row r="5" spans="1:11" s="136" customFormat="1" ht="14.1" customHeight="1" x14ac:dyDescent="0.2">
      <c r="B5" s="22"/>
      <c r="C5" s="135"/>
      <c r="D5" s="135"/>
      <c r="E5" s="135"/>
      <c r="F5" s="135"/>
      <c r="G5" s="22"/>
      <c r="H5" s="22"/>
      <c r="I5" s="135"/>
      <c r="J5" s="24"/>
    </row>
    <row r="6" spans="1:11" s="136" customFormat="1" ht="14.1" customHeight="1" x14ac:dyDescent="0.2">
      <c r="B6" s="22"/>
      <c r="C6" s="135"/>
      <c r="D6" s="135"/>
      <c r="E6" s="135"/>
      <c r="F6" s="135"/>
      <c r="G6" s="22"/>
      <c r="H6" s="22"/>
      <c r="I6" s="135"/>
      <c r="J6" s="24"/>
    </row>
    <row r="7" spans="1:11" s="136" customFormat="1" ht="14.1" customHeight="1" x14ac:dyDescent="0.2">
      <c r="B7" s="22"/>
      <c r="C7" s="135"/>
      <c r="D7" s="135"/>
      <c r="E7" s="135"/>
      <c r="F7" s="135"/>
      <c r="G7" s="22"/>
      <c r="H7" s="22"/>
      <c r="I7" s="135"/>
      <c r="J7" s="24"/>
    </row>
    <row r="8" spans="1:11" s="136" customFormat="1" ht="14.1" customHeight="1" x14ac:dyDescent="0.2">
      <c r="B8" s="22"/>
      <c r="C8" s="135"/>
      <c r="D8" s="135"/>
      <c r="E8" s="135"/>
      <c r="F8" s="135"/>
      <c r="G8" s="22"/>
      <c r="H8" s="22"/>
      <c r="I8" s="135"/>
      <c r="J8" s="24"/>
    </row>
    <row r="9" spans="1:11" ht="15.75" customHeight="1" x14ac:dyDescent="0.2">
      <c r="F9" s="25"/>
      <c r="G9" s="25"/>
      <c r="H9" s="25"/>
      <c r="I9" s="25"/>
      <c r="J9" s="25"/>
      <c r="K9" s="25"/>
    </row>
    <row r="10" spans="1:11" ht="15.75" customHeight="1" x14ac:dyDescent="0.25">
      <c r="A10" s="46"/>
      <c r="B10" s="221" t="s">
        <v>72</v>
      </c>
      <c r="C10" s="221"/>
      <c r="D10" s="221"/>
      <c r="E10" s="221"/>
      <c r="F10" s="25"/>
      <c r="G10" s="25"/>
      <c r="H10" s="21"/>
      <c r="I10" s="137" t="s">
        <v>74</v>
      </c>
      <c r="J10" s="137" t="s">
        <v>75</v>
      </c>
      <c r="K10" s="25"/>
    </row>
    <row r="11" spans="1:11" ht="15.75" customHeight="1" x14ac:dyDescent="0.2">
      <c r="B11" s="217" t="s">
        <v>76</v>
      </c>
      <c r="C11" s="217"/>
      <c r="D11" s="217"/>
      <c r="E11" s="217"/>
      <c r="F11" s="25"/>
      <c r="G11" s="218" t="s">
        <v>76</v>
      </c>
      <c r="H11" s="223"/>
      <c r="I11" s="47">
        <f>I39</f>
        <v>0</v>
      </c>
      <c r="J11" s="168">
        <f>I38</f>
        <v>0</v>
      </c>
      <c r="K11" s="25"/>
    </row>
    <row r="12" spans="1:11" s="117" customFormat="1" ht="15.75" customHeight="1" x14ac:dyDescent="0.2">
      <c r="B12" s="217" t="s">
        <v>82</v>
      </c>
      <c r="C12" s="217"/>
      <c r="D12" s="217"/>
      <c r="E12" s="217"/>
      <c r="F12" s="25"/>
      <c r="G12" s="218" t="s">
        <v>82</v>
      </c>
      <c r="H12" s="219"/>
      <c r="I12" s="47">
        <f>$I$68+$I$87</f>
        <v>0</v>
      </c>
      <c r="J12" s="168">
        <f>$I$67+$I$86</f>
        <v>0</v>
      </c>
      <c r="K12" s="25"/>
    </row>
    <row r="13" spans="1:11" ht="15.75" customHeight="1" x14ac:dyDescent="0.25">
      <c r="B13" s="48"/>
      <c r="C13" s="48"/>
      <c r="D13" s="48"/>
      <c r="E13" s="48"/>
      <c r="F13" s="25"/>
      <c r="G13" s="25"/>
      <c r="H13" s="25"/>
      <c r="I13" s="138" t="s">
        <v>86</v>
      </c>
      <c r="J13" s="169">
        <f>SUM(J11:J12)</f>
        <v>0</v>
      </c>
      <c r="K13" s="25"/>
    </row>
    <row r="14" spans="1:11" ht="15.75" customHeight="1" x14ac:dyDescent="0.25">
      <c r="A14" s="46"/>
      <c r="B14" s="48"/>
      <c r="C14" s="48"/>
      <c r="D14" s="48"/>
      <c r="E14" s="48"/>
      <c r="F14" s="25"/>
      <c r="G14" s="21"/>
      <c r="H14" s="21"/>
      <c r="I14" s="21"/>
      <c r="J14" s="21"/>
      <c r="K14" s="25"/>
    </row>
    <row r="15" spans="1:11" ht="15.75" customHeight="1" x14ac:dyDescent="0.2">
      <c r="F15" s="49"/>
      <c r="G15" s="21"/>
      <c r="H15" s="21"/>
      <c r="I15" s="21"/>
      <c r="J15" s="21"/>
      <c r="K15" s="25"/>
    </row>
    <row r="16" spans="1:11" ht="15.75" customHeight="1" x14ac:dyDescent="0.25">
      <c r="F16" s="222" t="s">
        <v>73</v>
      </c>
      <c r="G16" s="222"/>
      <c r="H16" s="21"/>
      <c r="I16" s="21"/>
      <c r="J16" s="21"/>
      <c r="K16" s="25"/>
    </row>
    <row r="17" spans="1:11" s="48" customFormat="1" ht="15.75" customHeight="1" x14ac:dyDescent="0.25">
      <c r="B17" s="22"/>
      <c r="C17" s="23"/>
      <c r="D17" s="23"/>
      <c r="E17" s="23"/>
    </row>
    <row r="18" spans="1:11" ht="14.1" customHeight="1" x14ac:dyDescent="0.2">
      <c r="B18" s="50"/>
      <c r="C18" s="50"/>
      <c r="D18" s="50"/>
    </row>
    <row r="19" spans="1:11" ht="30" customHeight="1" x14ac:dyDescent="0.2">
      <c r="A19" s="224" t="s">
        <v>76</v>
      </c>
      <c r="B19" s="224"/>
      <c r="C19" s="224"/>
      <c r="D19" s="224"/>
      <c r="E19" s="224"/>
      <c r="F19" s="224"/>
      <c r="G19" s="224"/>
      <c r="H19" s="224"/>
      <c r="I19" s="224"/>
      <c r="J19" s="224"/>
      <c r="K19" s="224"/>
    </row>
    <row r="20" spans="1:11" ht="13.5" customHeight="1" x14ac:dyDescent="0.2">
      <c r="B20" s="21"/>
      <c r="C20" s="22"/>
      <c r="G20" s="21"/>
      <c r="H20" s="21"/>
      <c r="I20" s="21"/>
    </row>
    <row r="21" spans="1:11" ht="14.1" customHeight="1" x14ac:dyDescent="0.2">
      <c r="B21" s="21"/>
      <c r="C21" s="22"/>
      <c r="G21" s="225" t="s">
        <v>89</v>
      </c>
      <c r="H21" s="225"/>
      <c r="I21" s="225"/>
    </row>
    <row r="22" spans="1:11" s="23" customFormat="1" ht="14.1" customHeight="1" x14ac:dyDescent="0.25">
      <c r="C22" s="22"/>
      <c r="G22" s="33" t="s">
        <v>90</v>
      </c>
      <c r="H22" s="33"/>
      <c r="I22" s="33"/>
      <c r="J22" s="22"/>
    </row>
    <row r="23" spans="1:11" s="23" customFormat="1" ht="14.1" customHeight="1" x14ac:dyDescent="0.25">
      <c r="C23" s="22"/>
      <c r="F23" s="33"/>
      <c r="G23" s="33" t="s">
        <v>91</v>
      </c>
      <c r="H23" s="33"/>
      <c r="I23" s="33"/>
    </row>
    <row r="24" spans="1:11" s="23" customFormat="1" ht="14.1" customHeight="1" x14ac:dyDescent="0.25">
      <c r="C24" s="22"/>
      <c r="F24" s="33"/>
      <c r="G24" s="33" t="s">
        <v>92</v>
      </c>
      <c r="H24" s="33"/>
      <c r="I24" s="33"/>
    </row>
    <row r="25" spans="1:11" s="23" customFormat="1" ht="16.5" customHeight="1" x14ac:dyDescent="0.25">
      <c r="C25" s="22"/>
      <c r="F25" s="33"/>
      <c r="G25" s="33"/>
      <c r="H25" s="33"/>
      <c r="I25" s="33"/>
    </row>
    <row r="26" spans="1:11" s="23" customFormat="1" ht="20.100000000000001" customHeight="1" x14ac:dyDescent="0.25">
      <c r="C26" s="227" t="s">
        <v>77</v>
      </c>
      <c r="D26" s="227"/>
      <c r="E26" s="227"/>
      <c r="F26" s="227"/>
      <c r="G26" s="227"/>
      <c r="H26" s="227"/>
      <c r="I26" s="227"/>
    </row>
    <row r="27" spans="1:11" ht="30.75" customHeight="1" x14ac:dyDescent="0.2">
      <c r="B27" s="21"/>
      <c r="C27" s="228" t="s">
        <v>74</v>
      </c>
      <c r="D27" s="228" t="s">
        <v>79</v>
      </c>
      <c r="E27" s="228" t="s">
        <v>35</v>
      </c>
      <c r="F27" s="228"/>
      <c r="G27" s="228"/>
      <c r="H27" s="228"/>
      <c r="I27" s="228" t="s">
        <v>80</v>
      </c>
    </row>
    <row r="28" spans="1:11" ht="12.75" x14ac:dyDescent="0.2">
      <c r="B28" s="21"/>
      <c r="C28" s="228"/>
      <c r="D28" s="228"/>
      <c r="E28" s="139" t="s">
        <v>0</v>
      </c>
      <c r="F28" s="139" t="s">
        <v>1</v>
      </c>
      <c r="G28" s="139" t="s">
        <v>2</v>
      </c>
      <c r="H28" s="139" t="s">
        <v>3</v>
      </c>
      <c r="I28" s="228"/>
    </row>
    <row r="29" spans="1:11" ht="14.1" customHeight="1" x14ac:dyDescent="0.2">
      <c r="B29" s="21"/>
      <c r="C29" s="1"/>
      <c r="D29" s="44">
        <v>32</v>
      </c>
      <c r="E29" s="44">
        <v>1</v>
      </c>
      <c r="F29" s="210">
        <v>2.25</v>
      </c>
      <c r="G29" s="2">
        <v>0</v>
      </c>
      <c r="H29" s="166">
        <f>F29*(1-G29)*E29</f>
        <v>2.25</v>
      </c>
      <c r="I29" s="166">
        <f>C29*H29</f>
        <v>0</v>
      </c>
    </row>
    <row r="30" spans="1:11" ht="14.1" customHeight="1" x14ac:dyDescent="0.2">
      <c r="B30" s="21"/>
      <c r="C30" s="1"/>
      <c r="D30" s="44">
        <v>40</v>
      </c>
      <c r="E30" s="44">
        <v>1</v>
      </c>
      <c r="F30" s="210">
        <v>2.35</v>
      </c>
      <c r="G30" s="38">
        <f t="shared" ref="G30:G37" si="0">$G$29</f>
        <v>0</v>
      </c>
      <c r="H30" s="166">
        <f t="shared" ref="H30:H37" si="1">F30*(1-G30)*E30</f>
        <v>2.35</v>
      </c>
      <c r="I30" s="166">
        <f t="shared" ref="I30:I37" si="2">C30*H30</f>
        <v>0</v>
      </c>
    </row>
    <row r="31" spans="1:11" ht="14.1" customHeight="1" x14ac:dyDescent="0.2">
      <c r="B31" s="21"/>
      <c r="C31" s="1"/>
      <c r="D31" s="44">
        <v>55</v>
      </c>
      <c r="E31" s="44">
        <v>1</v>
      </c>
      <c r="F31" s="210">
        <v>2.6</v>
      </c>
      <c r="G31" s="38">
        <f t="shared" si="0"/>
        <v>0</v>
      </c>
      <c r="H31" s="166">
        <f t="shared" si="1"/>
        <v>2.6</v>
      </c>
      <c r="I31" s="166">
        <f t="shared" si="2"/>
        <v>0</v>
      </c>
    </row>
    <row r="32" spans="1:11" ht="14.1" customHeight="1" x14ac:dyDescent="0.2">
      <c r="B32" s="21"/>
      <c r="C32" s="1"/>
      <c r="D32" s="44">
        <v>63</v>
      </c>
      <c r="E32" s="44">
        <v>1</v>
      </c>
      <c r="F32" s="210">
        <v>3.2</v>
      </c>
      <c r="G32" s="38">
        <f t="shared" si="0"/>
        <v>0</v>
      </c>
      <c r="H32" s="166">
        <f t="shared" si="1"/>
        <v>3.2</v>
      </c>
      <c r="I32" s="166">
        <f t="shared" si="2"/>
        <v>0</v>
      </c>
    </row>
    <row r="33" spans="1:11" ht="14.1" customHeight="1" x14ac:dyDescent="0.2">
      <c r="B33" s="21"/>
      <c r="C33" s="1"/>
      <c r="D33" s="44">
        <v>82</v>
      </c>
      <c r="E33" s="44">
        <v>1</v>
      </c>
      <c r="F33" s="210">
        <v>3.6</v>
      </c>
      <c r="G33" s="38">
        <f t="shared" si="0"/>
        <v>0</v>
      </c>
      <c r="H33" s="166">
        <f t="shared" si="1"/>
        <v>3.6</v>
      </c>
      <c r="I33" s="166">
        <f t="shared" si="2"/>
        <v>0</v>
      </c>
    </row>
    <row r="34" spans="1:11" ht="14.1" customHeight="1" x14ac:dyDescent="0.2">
      <c r="B34" s="21"/>
      <c r="C34" s="1"/>
      <c r="D34" s="44">
        <v>110</v>
      </c>
      <c r="E34" s="44">
        <v>1</v>
      </c>
      <c r="F34" s="210">
        <v>3.9</v>
      </c>
      <c r="G34" s="38">
        <f t="shared" si="0"/>
        <v>0</v>
      </c>
      <c r="H34" s="166">
        <f t="shared" ref="H34" si="3">F34*(1-G34)*E34</f>
        <v>3.9</v>
      </c>
      <c r="I34" s="166">
        <f t="shared" ref="I34" si="4">C34*H34</f>
        <v>0</v>
      </c>
    </row>
    <row r="35" spans="1:11" ht="14.1" customHeight="1" x14ac:dyDescent="0.2">
      <c r="B35" s="21"/>
      <c r="C35" s="1"/>
      <c r="D35" s="44">
        <v>125</v>
      </c>
      <c r="E35" s="44">
        <v>1</v>
      </c>
      <c r="F35" s="210">
        <v>8.1999999999999993</v>
      </c>
      <c r="G35" s="38">
        <f t="shared" si="0"/>
        <v>0</v>
      </c>
      <c r="H35" s="166">
        <f t="shared" si="1"/>
        <v>8.1999999999999993</v>
      </c>
      <c r="I35" s="166">
        <f t="shared" si="2"/>
        <v>0</v>
      </c>
    </row>
    <row r="36" spans="1:11" ht="14.1" customHeight="1" x14ac:dyDescent="0.2">
      <c r="B36" s="21"/>
      <c r="C36" s="1"/>
      <c r="D36" s="44">
        <v>160</v>
      </c>
      <c r="E36" s="44">
        <v>1</v>
      </c>
      <c r="F36" s="210">
        <v>12.2</v>
      </c>
      <c r="G36" s="38">
        <f t="shared" si="0"/>
        <v>0</v>
      </c>
      <c r="H36" s="166">
        <f t="shared" si="1"/>
        <v>12.2</v>
      </c>
      <c r="I36" s="166">
        <f t="shared" si="2"/>
        <v>0</v>
      </c>
    </row>
    <row r="37" spans="1:11" ht="14.1" customHeight="1" x14ac:dyDescent="0.2">
      <c r="B37" s="21"/>
      <c r="C37" s="1"/>
      <c r="D37" s="44">
        <v>200</v>
      </c>
      <c r="E37" s="44">
        <v>1</v>
      </c>
      <c r="F37" s="210">
        <v>24</v>
      </c>
      <c r="G37" s="38">
        <f t="shared" si="0"/>
        <v>0</v>
      </c>
      <c r="H37" s="166">
        <f t="shared" si="1"/>
        <v>24</v>
      </c>
      <c r="I37" s="166">
        <f t="shared" si="2"/>
        <v>0</v>
      </c>
    </row>
    <row r="38" spans="1:11" s="24" customFormat="1" ht="14.1" customHeight="1" x14ac:dyDescent="0.2">
      <c r="G38" s="226" t="s">
        <v>86</v>
      </c>
      <c r="H38" s="226"/>
      <c r="I38" s="167">
        <f>SUM(I29:I37)</f>
        <v>0</v>
      </c>
    </row>
    <row r="39" spans="1:11" s="24" customFormat="1" ht="14.1" customHeight="1" x14ac:dyDescent="0.2">
      <c r="G39" s="226" t="s">
        <v>87</v>
      </c>
      <c r="H39" s="226"/>
      <c r="I39" s="140">
        <f>SUM(C29:C37)</f>
        <v>0</v>
      </c>
    </row>
    <row r="40" spans="1:11" ht="14.1" customHeight="1" x14ac:dyDescent="0.2">
      <c r="A40" s="220" t="s">
        <v>81</v>
      </c>
      <c r="B40" s="220"/>
      <c r="C40" s="220"/>
    </row>
    <row r="42" spans="1:11" s="112" customFormat="1" ht="14.1" customHeight="1" x14ac:dyDescent="0.2">
      <c r="B42" s="22"/>
      <c r="C42" s="111"/>
      <c r="D42" s="111"/>
      <c r="E42" s="111"/>
      <c r="F42" s="111"/>
      <c r="G42" s="22"/>
      <c r="H42" s="22"/>
      <c r="I42" s="111"/>
      <c r="J42" s="24"/>
    </row>
    <row r="43" spans="1:11" s="25" customFormat="1" ht="30" customHeight="1" x14ac:dyDescent="0.2">
      <c r="A43" s="224" t="s">
        <v>82</v>
      </c>
      <c r="B43" s="224"/>
      <c r="C43" s="224"/>
      <c r="D43" s="224"/>
      <c r="E43" s="224"/>
      <c r="F43" s="224"/>
      <c r="G43" s="224"/>
      <c r="H43" s="224"/>
      <c r="I43" s="224"/>
      <c r="J43" s="224"/>
      <c r="K43" s="224"/>
    </row>
    <row r="44" spans="1:11" s="112" customFormat="1" ht="14.1" customHeight="1" x14ac:dyDescent="0.2">
      <c r="C44" s="22"/>
      <c r="D44" s="111"/>
      <c r="E44" s="111"/>
      <c r="F44" s="111"/>
      <c r="J44" s="111"/>
    </row>
    <row r="45" spans="1:11" s="112" customFormat="1" ht="14.1" customHeight="1" x14ac:dyDescent="0.25">
      <c r="C45"/>
      <c r="D45" s="111"/>
      <c r="E45" s="111"/>
      <c r="F45" s="111"/>
      <c r="G45" s="225" t="s">
        <v>89</v>
      </c>
      <c r="H45" s="225"/>
      <c r="I45" s="225"/>
      <c r="J45" s="111"/>
    </row>
    <row r="46" spans="1:11" s="112" customFormat="1" ht="14.1" customHeight="1" x14ac:dyDescent="0.2">
      <c r="C46" s="24"/>
      <c r="G46" s="229" t="s">
        <v>90</v>
      </c>
      <c r="H46" s="229"/>
      <c r="I46" s="229"/>
      <c r="J46" s="111"/>
    </row>
    <row r="47" spans="1:11" s="112" customFormat="1" ht="14.1" customHeight="1" x14ac:dyDescent="0.2">
      <c r="C47" s="24"/>
      <c r="G47" s="229" t="s">
        <v>91</v>
      </c>
      <c r="H47" s="229"/>
      <c r="I47" s="229"/>
    </row>
    <row r="48" spans="1:11" s="112" customFormat="1" ht="14.1" customHeight="1" x14ac:dyDescent="0.2">
      <c r="C48" s="24"/>
      <c r="G48" s="229" t="s">
        <v>92</v>
      </c>
      <c r="H48" s="229"/>
      <c r="I48" s="229"/>
    </row>
    <row r="49" spans="3:10" s="117" customFormat="1" ht="14.1" customHeight="1" x14ac:dyDescent="0.2">
      <c r="C49" s="24"/>
      <c r="G49" s="115"/>
      <c r="H49" s="115"/>
      <c r="I49" s="115"/>
    </row>
    <row r="50" spans="3:10" s="112" customFormat="1" ht="14.1" customHeight="1" x14ac:dyDescent="0.2">
      <c r="C50" s="24"/>
      <c r="G50" s="229"/>
      <c r="H50" s="229"/>
      <c r="I50" s="229"/>
    </row>
    <row r="51" spans="3:10" s="112" customFormat="1" ht="20.100000000000001" customHeight="1" x14ac:dyDescent="0.2">
      <c r="C51" s="227" t="s">
        <v>83</v>
      </c>
      <c r="D51" s="227"/>
      <c r="E51" s="227"/>
      <c r="F51" s="227"/>
      <c r="G51" s="227"/>
      <c r="H51" s="227"/>
      <c r="I51" s="227"/>
      <c r="J51" s="25"/>
    </row>
    <row r="52" spans="3:10" s="112" customFormat="1" ht="12.75" customHeight="1" x14ac:dyDescent="0.2">
      <c r="C52" s="228" t="s">
        <v>74</v>
      </c>
      <c r="D52" s="228" t="s">
        <v>79</v>
      </c>
      <c r="E52" s="228" t="s">
        <v>36</v>
      </c>
      <c r="F52" s="228"/>
      <c r="G52" s="228"/>
      <c r="H52" s="228"/>
      <c r="I52" s="228" t="s">
        <v>85</v>
      </c>
      <c r="J52" s="111"/>
    </row>
    <row r="53" spans="3:10" s="112" customFormat="1" ht="14.1" customHeight="1" x14ac:dyDescent="0.2">
      <c r="C53" s="228"/>
      <c r="D53" s="228"/>
      <c r="E53" s="139" t="s">
        <v>0</v>
      </c>
      <c r="F53" s="139" t="s">
        <v>1</v>
      </c>
      <c r="G53" s="139" t="s">
        <v>2</v>
      </c>
      <c r="H53" s="139" t="s">
        <v>3</v>
      </c>
      <c r="I53" s="228"/>
      <c r="J53" s="111"/>
    </row>
    <row r="54" spans="3:10" s="112" customFormat="1" ht="14.1" customHeight="1" x14ac:dyDescent="0.2">
      <c r="C54" s="1"/>
      <c r="D54" s="114">
        <v>32</v>
      </c>
      <c r="E54" s="114">
        <v>1</v>
      </c>
      <c r="F54" s="210">
        <v>4.55</v>
      </c>
      <c r="G54" s="3">
        <v>0</v>
      </c>
      <c r="H54" s="166">
        <f>F54-(F54*G54)</f>
        <v>4.55</v>
      </c>
      <c r="I54" s="166">
        <f>H54*C54</f>
        <v>0</v>
      </c>
      <c r="J54" s="111"/>
    </row>
    <row r="55" spans="3:10" s="112" customFormat="1" ht="14.1" customHeight="1" x14ac:dyDescent="0.2">
      <c r="C55" s="1"/>
      <c r="D55" s="114">
        <v>40</v>
      </c>
      <c r="E55" s="114">
        <v>1</v>
      </c>
      <c r="F55" s="210">
        <v>4.6500000000000004</v>
      </c>
      <c r="G55" s="51">
        <f>$G$54</f>
        <v>0</v>
      </c>
      <c r="H55" s="166">
        <f t="shared" ref="H55:H66" si="5">F55-(F55*G55)</f>
        <v>4.6500000000000004</v>
      </c>
      <c r="I55" s="166">
        <f t="shared" ref="I55:I64" si="6">H55*C55</f>
        <v>0</v>
      </c>
      <c r="J55" s="111"/>
    </row>
    <row r="56" spans="3:10" s="112" customFormat="1" ht="14.1" customHeight="1" x14ac:dyDescent="0.2">
      <c r="C56" s="1"/>
      <c r="D56" s="114">
        <v>55</v>
      </c>
      <c r="E56" s="114">
        <v>1</v>
      </c>
      <c r="F56" s="210">
        <v>5.35</v>
      </c>
      <c r="G56" s="51">
        <f t="shared" ref="G56:G66" si="7">$G$54</f>
        <v>0</v>
      </c>
      <c r="H56" s="166">
        <f t="shared" si="5"/>
        <v>5.35</v>
      </c>
      <c r="I56" s="166">
        <f t="shared" si="6"/>
        <v>0</v>
      </c>
      <c r="J56" s="111"/>
    </row>
    <row r="57" spans="3:10" s="112" customFormat="1" ht="14.1" customHeight="1" x14ac:dyDescent="0.2">
      <c r="C57" s="1"/>
      <c r="D57" s="114">
        <v>63</v>
      </c>
      <c r="E57" s="114">
        <v>1</v>
      </c>
      <c r="F57" s="210">
        <v>5.45</v>
      </c>
      <c r="G57" s="51">
        <f t="shared" si="7"/>
        <v>0</v>
      </c>
      <c r="H57" s="166">
        <f t="shared" si="5"/>
        <v>5.45</v>
      </c>
      <c r="I57" s="166">
        <f t="shared" si="6"/>
        <v>0</v>
      </c>
      <c r="J57" s="111"/>
    </row>
    <row r="58" spans="3:10" s="188" customFormat="1" ht="14.1" customHeight="1" x14ac:dyDescent="0.2">
      <c r="C58" s="1"/>
      <c r="D58" s="191">
        <v>75</v>
      </c>
      <c r="E58" s="191">
        <v>1</v>
      </c>
      <c r="F58" s="210">
        <v>6</v>
      </c>
      <c r="G58" s="51">
        <f t="shared" si="7"/>
        <v>0</v>
      </c>
      <c r="H58" s="166">
        <f t="shared" ref="H58" si="8">F58-(F58*G58)</f>
        <v>6</v>
      </c>
      <c r="I58" s="166">
        <f t="shared" ref="I58" si="9">H58*C58</f>
        <v>0</v>
      </c>
      <c r="J58" s="186"/>
    </row>
    <row r="59" spans="3:10" s="112" customFormat="1" ht="14.1" customHeight="1" x14ac:dyDescent="0.2">
      <c r="C59" s="1"/>
      <c r="D59" s="114">
        <v>82</v>
      </c>
      <c r="E59" s="114">
        <v>1</v>
      </c>
      <c r="F59" s="210">
        <v>6.5</v>
      </c>
      <c r="G59" s="51">
        <f t="shared" si="7"/>
        <v>0</v>
      </c>
      <c r="H59" s="166">
        <f t="shared" si="5"/>
        <v>6.5</v>
      </c>
      <c r="I59" s="166">
        <f t="shared" si="6"/>
        <v>0</v>
      </c>
      <c r="J59" s="111"/>
    </row>
    <row r="60" spans="3:10" s="112" customFormat="1" ht="14.1" customHeight="1" x14ac:dyDescent="0.2">
      <c r="C60" s="1"/>
      <c r="D60" s="114">
        <v>90</v>
      </c>
      <c r="E60" s="114">
        <v>1</v>
      </c>
      <c r="F60" s="210">
        <v>7.7</v>
      </c>
      <c r="G60" s="51">
        <f t="shared" si="7"/>
        <v>0</v>
      </c>
      <c r="H60" s="166">
        <f t="shared" si="5"/>
        <v>7.7</v>
      </c>
      <c r="I60" s="166">
        <f t="shared" si="6"/>
        <v>0</v>
      </c>
      <c r="J60" s="111"/>
    </row>
    <row r="61" spans="3:10" s="112" customFormat="1" ht="14.1" customHeight="1" x14ac:dyDescent="0.2">
      <c r="C61" s="1"/>
      <c r="D61" s="114">
        <v>110</v>
      </c>
      <c r="E61" s="114">
        <v>1</v>
      </c>
      <c r="F61" s="210">
        <v>8.4499999999999993</v>
      </c>
      <c r="G61" s="51">
        <f t="shared" si="7"/>
        <v>0</v>
      </c>
      <c r="H61" s="166">
        <f t="shared" si="5"/>
        <v>8.4499999999999993</v>
      </c>
      <c r="I61" s="166">
        <f t="shared" si="6"/>
        <v>0</v>
      </c>
      <c r="J61" s="111"/>
    </row>
    <row r="62" spans="3:10" s="112" customFormat="1" ht="14.1" customHeight="1" x14ac:dyDescent="0.2">
      <c r="C62" s="1"/>
      <c r="D62" s="114">
        <v>125</v>
      </c>
      <c r="E62" s="114">
        <v>1</v>
      </c>
      <c r="F62" s="210">
        <v>12.2</v>
      </c>
      <c r="G62" s="51">
        <f t="shared" si="7"/>
        <v>0</v>
      </c>
      <c r="H62" s="166">
        <f t="shared" si="5"/>
        <v>12.2</v>
      </c>
      <c r="I62" s="166">
        <f t="shared" si="6"/>
        <v>0</v>
      </c>
      <c r="J62" s="111"/>
    </row>
    <row r="63" spans="3:10" s="112" customFormat="1" ht="14.1" customHeight="1" x14ac:dyDescent="0.2">
      <c r="C63" s="1"/>
      <c r="D63" s="114">
        <v>160</v>
      </c>
      <c r="E63" s="114">
        <v>1</v>
      </c>
      <c r="F63" s="210">
        <v>16.7</v>
      </c>
      <c r="G63" s="51">
        <f t="shared" si="7"/>
        <v>0</v>
      </c>
      <c r="H63" s="166">
        <f t="shared" si="5"/>
        <v>16.7</v>
      </c>
      <c r="I63" s="166">
        <f t="shared" si="6"/>
        <v>0</v>
      </c>
      <c r="J63" s="111"/>
    </row>
    <row r="64" spans="3:10" s="112" customFormat="1" ht="14.1" customHeight="1" x14ac:dyDescent="0.2">
      <c r="C64" s="1"/>
      <c r="D64" s="114">
        <v>200</v>
      </c>
      <c r="E64" s="114">
        <v>1</v>
      </c>
      <c r="F64" s="210">
        <v>47</v>
      </c>
      <c r="G64" s="51">
        <f t="shared" si="7"/>
        <v>0</v>
      </c>
      <c r="H64" s="166">
        <f t="shared" si="5"/>
        <v>47</v>
      </c>
      <c r="I64" s="166">
        <f t="shared" si="6"/>
        <v>0</v>
      </c>
      <c r="J64" s="111"/>
    </row>
    <row r="65" spans="2:10" s="117" customFormat="1" ht="14.1" customHeight="1" x14ac:dyDescent="0.2">
      <c r="C65" s="1"/>
      <c r="D65" s="118">
        <v>250</v>
      </c>
      <c r="E65" s="118">
        <v>1</v>
      </c>
      <c r="F65" s="210">
        <v>140</v>
      </c>
      <c r="G65" s="51">
        <f t="shared" si="7"/>
        <v>0</v>
      </c>
      <c r="H65" s="166">
        <f t="shared" ref="H65" si="10">F65-(F65*G65)</f>
        <v>140</v>
      </c>
      <c r="I65" s="166">
        <f>H65*C65</f>
        <v>0</v>
      </c>
      <c r="J65" s="116"/>
    </row>
    <row r="66" spans="2:10" s="112" customFormat="1" ht="14.1" customHeight="1" x14ac:dyDescent="0.2">
      <c r="C66" s="1"/>
      <c r="D66" s="114">
        <v>315</v>
      </c>
      <c r="E66" s="114">
        <v>1</v>
      </c>
      <c r="F66" s="210">
        <v>227</v>
      </c>
      <c r="G66" s="51">
        <f t="shared" si="7"/>
        <v>0</v>
      </c>
      <c r="H66" s="166">
        <f t="shared" si="5"/>
        <v>227</v>
      </c>
      <c r="I66" s="166">
        <f>H66*C66</f>
        <v>0</v>
      </c>
      <c r="J66" s="111"/>
    </row>
    <row r="67" spans="2:10" s="112" customFormat="1" ht="14.1" customHeight="1" x14ac:dyDescent="0.2">
      <c r="C67" s="22"/>
      <c r="D67" s="111"/>
      <c r="E67" s="111"/>
      <c r="F67" s="111"/>
      <c r="G67" s="230" t="s">
        <v>86</v>
      </c>
      <c r="H67" s="230"/>
      <c r="I67" s="170">
        <f>SUM(I54:I66)</f>
        <v>0</v>
      </c>
      <c r="J67" s="111"/>
    </row>
    <row r="68" spans="2:10" s="112" customFormat="1" ht="14.1" customHeight="1" x14ac:dyDescent="0.2">
      <c r="C68" s="22"/>
      <c r="D68" s="111"/>
      <c r="E68" s="111"/>
      <c r="F68" s="111"/>
      <c r="G68" s="226" t="s">
        <v>88</v>
      </c>
      <c r="H68" s="226"/>
      <c r="I68" s="141">
        <f>SUM(C54:C66)</f>
        <v>0</v>
      </c>
      <c r="J68" s="111"/>
    </row>
    <row r="69" spans="2:10" s="25" customFormat="1" ht="14.1" customHeight="1" x14ac:dyDescent="0.2">
      <c r="B69" s="231"/>
      <c r="C69" s="231"/>
      <c r="D69" s="231"/>
    </row>
    <row r="70" spans="2:10" s="112" customFormat="1" ht="14.1" customHeight="1" x14ac:dyDescent="0.2">
      <c r="C70" s="22"/>
      <c r="D70" s="111"/>
      <c r="E70" s="111"/>
      <c r="F70" s="111"/>
      <c r="G70" s="111"/>
      <c r="H70" s="22"/>
      <c r="I70" s="22"/>
      <c r="J70" s="111"/>
    </row>
    <row r="71" spans="2:10" s="112" customFormat="1" ht="20.100000000000001" customHeight="1" x14ac:dyDescent="0.2">
      <c r="C71" s="227" t="s">
        <v>84</v>
      </c>
      <c r="D71" s="227"/>
      <c r="E71" s="227"/>
      <c r="F71" s="227"/>
      <c r="G71" s="227"/>
      <c r="H71" s="227"/>
      <c r="I71" s="227"/>
      <c r="J71" s="111"/>
    </row>
    <row r="72" spans="2:10" s="112" customFormat="1" ht="16.5" customHeight="1" x14ac:dyDescent="0.2">
      <c r="C72" s="228" t="s">
        <v>74</v>
      </c>
      <c r="D72" s="228" t="s">
        <v>79</v>
      </c>
      <c r="E72" s="228" t="s">
        <v>36</v>
      </c>
      <c r="F72" s="228"/>
      <c r="G72" s="228"/>
      <c r="H72" s="228"/>
      <c r="I72" s="228" t="s">
        <v>85</v>
      </c>
      <c r="J72" s="111"/>
    </row>
    <row r="73" spans="2:10" s="112" customFormat="1" ht="16.5" customHeight="1" x14ac:dyDescent="0.2">
      <c r="C73" s="228"/>
      <c r="D73" s="228"/>
      <c r="E73" s="139" t="s">
        <v>0</v>
      </c>
      <c r="F73" s="139" t="s">
        <v>1</v>
      </c>
      <c r="G73" s="139" t="s">
        <v>2</v>
      </c>
      <c r="H73" s="139" t="s">
        <v>3</v>
      </c>
      <c r="I73" s="228"/>
      <c r="J73" s="111"/>
    </row>
    <row r="74" spans="2:10" s="112" customFormat="1" ht="14.1" customHeight="1" x14ac:dyDescent="0.2">
      <c r="C74" s="1"/>
      <c r="D74" s="114">
        <v>32</v>
      </c>
      <c r="E74" s="114">
        <v>2</v>
      </c>
      <c r="F74" s="166">
        <f>F54*2</f>
        <v>9.1</v>
      </c>
      <c r="G74" s="3">
        <v>0</v>
      </c>
      <c r="H74" s="166">
        <f>F74-(F74*G74)</f>
        <v>9.1</v>
      </c>
      <c r="I74" s="166">
        <f>H74*C74</f>
        <v>0</v>
      </c>
      <c r="J74" s="52"/>
    </row>
    <row r="75" spans="2:10" s="112" customFormat="1" ht="14.1" customHeight="1" x14ac:dyDescent="0.2">
      <c r="C75" s="1"/>
      <c r="D75" s="114">
        <v>40</v>
      </c>
      <c r="E75" s="114">
        <v>2</v>
      </c>
      <c r="F75" s="166">
        <f>F55*2</f>
        <v>9.3000000000000007</v>
      </c>
      <c r="G75" s="51">
        <f>$G$74</f>
        <v>0</v>
      </c>
      <c r="H75" s="166">
        <f t="shared" ref="H75:H85" si="11">F75-(F75*G75)</f>
        <v>9.3000000000000007</v>
      </c>
      <c r="I75" s="166">
        <f t="shared" ref="I75:I83" si="12">H75*C75</f>
        <v>0</v>
      </c>
      <c r="J75" s="52"/>
    </row>
    <row r="76" spans="2:10" s="112" customFormat="1" ht="14.1" customHeight="1" x14ac:dyDescent="0.2">
      <c r="C76" s="1"/>
      <c r="D76" s="114">
        <v>55</v>
      </c>
      <c r="E76" s="114">
        <v>2</v>
      </c>
      <c r="F76" s="166">
        <f>F56*2</f>
        <v>10.7</v>
      </c>
      <c r="G76" s="51">
        <f t="shared" ref="G76:G85" si="13">$G$74</f>
        <v>0</v>
      </c>
      <c r="H76" s="166">
        <f t="shared" si="11"/>
        <v>10.7</v>
      </c>
      <c r="I76" s="166">
        <f t="shared" si="12"/>
        <v>0</v>
      </c>
      <c r="J76" s="52"/>
    </row>
    <row r="77" spans="2:10" s="112" customFormat="1" ht="14.1" customHeight="1" x14ac:dyDescent="0.2">
      <c r="C77" s="1"/>
      <c r="D77" s="114">
        <v>63</v>
      </c>
      <c r="E77" s="114">
        <v>2</v>
      </c>
      <c r="F77" s="166">
        <f>F57*2</f>
        <v>10.9</v>
      </c>
      <c r="G77" s="51">
        <f t="shared" si="13"/>
        <v>0</v>
      </c>
      <c r="H77" s="166">
        <f t="shared" si="11"/>
        <v>10.9</v>
      </c>
      <c r="I77" s="166">
        <f t="shared" si="12"/>
        <v>0</v>
      </c>
      <c r="J77" s="52"/>
    </row>
    <row r="78" spans="2:10" s="112" customFormat="1" ht="14.1" customHeight="1" x14ac:dyDescent="0.2">
      <c r="C78" s="1"/>
      <c r="D78" s="114">
        <v>82</v>
      </c>
      <c r="E78" s="114">
        <v>2</v>
      </c>
      <c r="F78" s="166">
        <f t="shared" ref="F78:F85" si="14">F59*2</f>
        <v>13</v>
      </c>
      <c r="G78" s="51">
        <f t="shared" si="13"/>
        <v>0</v>
      </c>
      <c r="H78" s="166">
        <f t="shared" si="11"/>
        <v>13</v>
      </c>
      <c r="I78" s="166">
        <f t="shared" si="12"/>
        <v>0</v>
      </c>
      <c r="J78" s="52"/>
    </row>
    <row r="79" spans="2:10" s="112" customFormat="1" ht="14.1" customHeight="1" x14ac:dyDescent="0.2">
      <c r="C79" s="1"/>
      <c r="D79" s="114">
        <v>90</v>
      </c>
      <c r="E79" s="114">
        <v>2</v>
      </c>
      <c r="F79" s="166">
        <f t="shared" si="14"/>
        <v>15.4</v>
      </c>
      <c r="G79" s="51">
        <f t="shared" si="13"/>
        <v>0</v>
      </c>
      <c r="H79" s="166">
        <f t="shared" si="11"/>
        <v>15.4</v>
      </c>
      <c r="I79" s="166">
        <f t="shared" si="12"/>
        <v>0</v>
      </c>
      <c r="J79" s="52"/>
    </row>
    <row r="80" spans="2:10" s="112" customFormat="1" ht="14.1" customHeight="1" x14ac:dyDescent="0.2">
      <c r="C80" s="1"/>
      <c r="D80" s="114">
        <v>110</v>
      </c>
      <c r="E80" s="114">
        <v>2</v>
      </c>
      <c r="F80" s="166">
        <f t="shared" si="14"/>
        <v>16.899999999999999</v>
      </c>
      <c r="G80" s="51">
        <f t="shared" si="13"/>
        <v>0</v>
      </c>
      <c r="H80" s="166">
        <f t="shared" si="11"/>
        <v>16.899999999999999</v>
      </c>
      <c r="I80" s="166">
        <f t="shared" si="12"/>
        <v>0</v>
      </c>
      <c r="J80" s="52"/>
    </row>
    <row r="81" spans="1:10" s="112" customFormat="1" ht="14.1" customHeight="1" x14ac:dyDescent="0.2">
      <c r="C81" s="1"/>
      <c r="D81" s="114">
        <v>125</v>
      </c>
      <c r="E81" s="114">
        <v>2</v>
      </c>
      <c r="F81" s="166">
        <f t="shared" si="14"/>
        <v>24.4</v>
      </c>
      <c r="G81" s="51">
        <f t="shared" si="13"/>
        <v>0</v>
      </c>
      <c r="H81" s="166">
        <f t="shared" si="11"/>
        <v>24.4</v>
      </c>
      <c r="I81" s="166">
        <f t="shared" si="12"/>
        <v>0</v>
      </c>
      <c r="J81" s="52"/>
    </row>
    <row r="82" spans="1:10" s="112" customFormat="1" ht="14.1" customHeight="1" x14ac:dyDescent="0.2">
      <c r="C82" s="1"/>
      <c r="D82" s="114">
        <v>160</v>
      </c>
      <c r="E82" s="114">
        <v>2</v>
      </c>
      <c r="F82" s="166">
        <f t="shared" si="14"/>
        <v>33.4</v>
      </c>
      <c r="G82" s="51">
        <f t="shared" si="13"/>
        <v>0</v>
      </c>
      <c r="H82" s="166">
        <f t="shared" si="11"/>
        <v>33.4</v>
      </c>
      <c r="I82" s="166">
        <f t="shared" si="12"/>
        <v>0</v>
      </c>
      <c r="J82" s="52"/>
    </row>
    <row r="83" spans="1:10" s="112" customFormat="1" ht="14.1" customHeight="1" x14ac:dyDescent="0.2">
      <c r="C83" s="1"/>
      <c r="D83" s="114">
        <v>200</v>
      </c>
      <c r="E83" s="114">
        <v>2</v>
      </c>
      <c r="F83" s="166">
        <f t="shared" si="14"/>
        <v>94</v>
      </c>
      <c r="G83" s="51">
        <f t="shared" si="13"/>
        <v>0</v>
      </c>
      <c r="H83" s="166">
        <f t="shared" si="11"/>
        <v>94</v>
      </c>
      <c r="I83" s="166">
        <f t="shared" si="12"/>
        <v>0</v>
      </c>
      <c r="J83" s="52"/>
    </row>
    <row r="84" spans="1:10" s="117" customFormat="1" ht="14.1" customHeight="1" x14ac:dyDescent="0.2">
      <c r="C84" s="1"/>
      <c r="D84" s="118">
        <v>250</v>
      </c>
      <c r="E84" s="118">
        <v>2</v>
      </c>
      <c r="F84" s="166">
        <f t="shared" si="14"/>
        <v>280</v>
      </c>
      <c r="G84" s="51">
        <f t="shared" si="13"/>
        <v>0</v>
      </c>
      <c r="H84" s="166">
        <f t="shared" ref="H84" si="15">F84-(F84*G84)</f>
        <v>280</v>
      </c>
      <c r="I84" s="166">
        <f>H84*C84</f>
        <v>0</v>
      </c>
      <c r="J84" s="52"/>
    </row>
    <row r="85" spans="1:10" s="112" customFormat="1" ht="14.1" customHeight="1" x14ac:dyDescent="0.2">
      <c r="C85" s="1"/>
      <c r="D85" s="114">
        <v>315</v>
      </c>
      <c r="E85" s="114">
        <v>2</v>
      </c>
      <c r="F85" s="166">
        <f t="shared" si="14"/>
        <v>454</v>
      </c>
      <c r="G85" s="51">
        <f t="shared" si="13"/>
        <v>0</v>
      </c>
      <c r="H85" s="166">
        <f t="shared" si="11"/>
        <v>454</v>
      </c>
      <c r="I85" s="166">
        <f>H85*C85</f>
        <v>0</v>
      </c>
      <c r="J85" s="52"/>
    </row>
    <row r="86" spans="1:10" s="112" customFormat="1" ht="14.1" customHeight="1" x14ac:dyDescent="0.2">
      <c r="C86" s="22"/>
      <c r="D86" s="111"/>
      <c r="E86" s="111"/>
      <c r="F86" s="111"/>
      <c r="G86" s="230" t="s">
        <v>86</v>
      </c>
      <c r="H86" s="230"/>
      <c r="I86" s="170">
        <f>SUM(I74:I85)</f>
        <v>0</v>
      </c>
      <c r="J86" s="111"/>
    </row>
    <row r="87" spans="1:10" s="112" customFormat="1" ht="14.1" customHeight="1" x14ac:dyDescent="0.2">
      <c r="B87" s="231"/>
      <c r="C87" s="231"/>
      <c r="D87" s="231"/>
      <c r="E87" s="111"/>
      <c r="F87" s="111"/>
      <c r="G87" s="226" t="s">
        <v>88</v>
      </c>
      <c r="H87" s="226"/>
      <c r="I87" s="141">
        <f>SUMPRODUCT(C74:C85,E74:E85)</f>
        <v>0</v>
      </c>
      <c r="J87" s="111"/>
    </row>
    <row r="88" spans="1:10" s="112" customFormat="1" ht="14.1" customHeight="1" x14ac:dyDescent="0.2">
      <c r="B88" s="22"/>
      <c r="C88" s="111"/>
      <c r="D88" s="111"/>
      <c r="E88" s="111"/>
      <c r="F88" s="111"/>
      <c r="G88" s="22"/>
      <c r="H88" s="22"/>
      <c r="I88" s="111"/>
      <c r="J88" s="24"/>
    </row>
    <row r="89" spans="1:10" s="112" customFormat="1" ht="14.1" customHeight="1" x14ac:dyDescent="0.2">
      <c r="A89" s="220" t="s">
        <v>81</v>
      </c>
      <c r="B89" s="220"/>
      <c r="C89" s="220"/>
      <c r="D89" s="111"/>
      <c r="E89" s="111"/>
      <c r="F89" s="111"/>
      <c r="G89" s="22"/>
      <c r="H89" s="22"/>
      <c r="I89" s="111"/>
      <c r="J89" s="24"/>
    </row>
    <row r="90" spans="1:10" s="112" customFormat="1" ht="14.1" customHeight="1" x14ac:dyDescent="0.2">
      <c r="B90" s="22"/>
      <c r="C90" s="111"/>
      <c r="D90" s="111"/>
      <c r="E90" s="111"/>
      <c r="F90" s="111"/>
      <c r="G90" s="22"/>
      <c r="H90" s="22"/>
      <c r="I90" s="111"/>
      <c r="J90" s="24"/>
    </row>
    <row r="91" spans="1:10" s="112" customFormat="1" ht="14.1" customHeight="1" x14ac:dyDescent="0.2">
      <c r="B91" s="22"/>
      <c r="C91" s="111"/>
      <c r="D91" s="111"/>
      <c r="E91" s="111"/>
      <c r="F91" s="111"/>
      <c r="G91" s="22"/>
      <c r="H91" s="22"/>
      <c r="I91" s="111"/>
      <c r="J91" s="24"/>
    </row>
    <row r="92" spans="1:10" s="112" customFormat="1" ht="14.1" customHeight="1" x14ac:dyDescent="0.2">
      <c r="B92" s="22"/>
      <c r="C92" s="111"/>
      <c r="D92" s="111"/>
      <c r="E92" s="111"/>
      <c r="F92" s="111"/>
      <c r="G92" s="22"/>
      <c r="H92" s="22"/>
      <c r="I92" s="111"/>
      <c r="J92" s="24"/>
    </row>
  </sheetData>
  <sheetProtection algorithmName="SHA-512" hashValue="oJeRABkH4fj62uK2gG63t9uCLuhS149+nxa4dwoYBeZJO55T50zL4RernSi/uGpfFekQj2ozu7aqIH1R9YxyZg==" saltValue="urEDKZxLgTXa9z9N/DftcQ==" spinCount="100000" sheet="1" objects="1" scenarios="1"/>
  <mergeCells count="39">
    <mergeCell ref="G86:H86"/>
    <mergeCell ref="B87:D87"/>
    <mergeCell ref="G87:H87"/>
    <mergeCell ref="A89:C89"/>
    <mergeCell ref="G67:H67"/>
    <mergeCell ref="G68:H68"/>
    <mergeCell ref="B69:D69"/>
    <mergeCell ref="C71:I71"/>
    <mergeCell ref="C72:C73"/>
    <mergeCell ref="D72:D73"/>
    <mergeCell ref="E72:H72"/>
    <mergeCell ref="I72:I73"/>
    <mergeCell ref="G50:I50"/>
    <mergeCell ref="C51:I51"/>
    <mergeCell ref="C52:C53"/>
    <mergeCell ref="D52:D53"/>
    <mergeCell ref="E52:H52"/>
    <mergeCell ref="I52:I53"/>
    <mergeCell ref="A43:K43"/>
    <mergeCell ref="G45:I45"/>
    <mergeCell ref="G46:I46"/>
    <mergeCell ref="G47:I47"/>
    <mergeCell ref="G48:I48"/>
    <mergeCell ref="B12:E12"/>
    <mergeCell ref="G12:H12"/>
    <mergeCell ref="A40:C40"/>
    <mergeCell ref="B10:E10"/>
    <mergeCell ref="F16:G16"/>
    <mergeCell ref="G11:H11"/>
    <mergeCell ref="B11:E11"/>
    <mergeCell ref="A19:K19"/>
    <mergeCell ref="G21:I21"/>
    <mergeCell ref="G38:H38"/>
    <mergeCell ref="G39:H39"/>
    <mergeCell ref="C26:I26"/>
    <mergeCell ref="C27:C28"/>
    <mergeCell ref="D27:D28"/>
    <mergeCell ref="E27:H27"/>
    <mergeCell ref="I27:I28"/>
  </mergeCells>
  <hyperlinks>
    <hyperlink ref="F16:G16" location="SYSTEMY!A1" display="MENU GŁÓWNE" xr:uid="{00000000-0004-0000-0100-000000000000}"/>
    <hyperlink ref="B11" location="'1'!A63" display="INTU FR WRAP - opaski" xr:uid="{00000000-0004-0000-0100-000002000000}"/>
    <hyperlink ref="B11:E11" location="'1'!A65" display="INTU FR WRAP - opaski" xr:uid="{00000000-0004-0000-0100-000003000000}"/>
    <hyperlink ref="B12" location="'1'!A110" display="ALFA COLLAR - kołnierze" xr:uid="{00000000-0004-0000-0100-000006000000}"/>
    <hyperlink ref="B12:E12" location="'1'!A90" display="ALFA COLLAR - kołnierze" xr:uid="{00000000-0004-0000-0100-000007000000}"/>
    <hyperlink ref="A89:C89" location="'1'!A1" display="POWRÓT DO WYBORU SYSTEMU" xr:uid="{00000000-0004-0000-0100-000008000000}"/>
    <hyperlink ref="A40:C40" location="'1'!A1" display="POWRÓT DO WYBORU SYSTEMU" xr:uid="{00000000-0004-0000-0100-000009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2" fitToHeight="0" orientation="portrait" cellComments="atEnd" r:id="rId1"/>
  <headerFooter>
    <oddFooter>&amp;A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6">
    <tabColor theme="1" tint="0.34998626667073579"/>
  </sheetPr>
  <dimension ref="A10:P262"/>
  <sheetViews>
    <sheetView showGridLines="0" zoomScale="85" zoomScaleNormal="85" workbookViewId="0">
      <selection activeCell="A2" sqref="A2"/>
    </sheetView>
  </sheetViews>
  <sheetFormatPr defaultColWidth="0" defaultRowHeight="12.75" x14ac:dyDescent="0.2"/>
  <cols>
    <col min="1" max="1" width="9.140625" style="53" customWidth="1"/>
    <col min="2" max="2" width="12.7109375" style="53" customWidth="1"/>
    <col min="3" max="3" width="14.140625" style="53" customWidth="1"/>
    <col min="4" max="4" width="21.7109375" style="53" bestFit="1" customWidth="1"/>
    <col min="5" max="5" width="11.85546875" style="53" customWidth="1"/>
    <col min="6" max="6" width="15.28515625" style="53" customWidth="1"/>
    <col min="7" max="7" width="17.85546875" style="53" customWidth="1"/>
    <col min="8" max="8" width="12.42578125" style="53" customWidth="1"/>
    <col min="9" max="10" width="13.28515625" style="53" customWidth="1"/>
    <col min="11" max="12" width="15" style="53" customWidth="1"/>
    <col min="13" max="13" width="9.140625" style="53" customWidth="1"/>
    <col min="14" max="14" width="13.5703125" style="53" customWidth="1"/>
    <col min="15" max="15" width="20.5703125" style="53" customWidth="1"/>
    <col min="16" max="16" width="0" style="53" hidden="1" customWidth="1"/>
    <col min="17" max="16384" width="9.140625" style="53" hidden="1"/>
  </cols>
  <sheetData>
    <row r="10" spans="1:15" ht="15.75" x14ac:dyDescent="0.25">
      <c r="H10" s="222" t="s">
        <v>73</v>
      </c>
      <c r="I10" s="222"/>
    </row>
    <row r="12" spans="1:15" x14ac:dyDescent="0.2">
      <c r="A12" s="54"/>
      <c r="M12" s="55"/>
      <c r="N12" s="56"/>
      <c r="O12" s="54"/>
    </row>
    <row r="13" spans="1:15" ht="12.75" customHeight="1" x14ac:dyDescent="0.2">
      <c r="A13" s="57"/>
      <c r="B13" s="57"/>
      <c r="C13" s="57"/>
      <c r="D13" s="241" t="s">
        <v>111</v>
      </c>
      <c r="E13" s="242" t="s">
        <v>93</v>
      </c>
      <c r="F13" s="242" t="s">
        <v>94</v>
      </c>
      <c r="G13" s="242"/>
      <c r="H13" s="242" t="s">
        <v>95</v>
      </c>
      <c r="I13" s="242" t="s">
        <v>96</v>
      </c>
      <c r="J13" s="242"/>
      <c r="K13" s="57"/>
      <c r="L13" s="55"/>
      <c r="M13" s="56"/>
      <c r="N13" s="57"/>
      <c r="O13" s="57"/>
    </row>
    <row r="14" spans="1:15" ht="38.25" x14ac:dyDescent="0.2">
      <c r="A14" s="54"/>
      <c r="B14" s="54"/>
      <c r="C14" s="54"/>
      <c r="D14" s="241"/>
      <c r="E14" s="242"/>
      <c r="F14" s="164" t="s">
        <v>97</v>
      </c>
      <c r="G14" s="164" t="s">
        <v>98</v>
      </c>
      <c r="H14" s="242"/>
      <c r="I14" s="164" t="s">
        <v>31</v>
      </c>
      <c r="J14" s="164" t="s">
        <v>32</v>
      </c>
      <c r="L14" s="55"/>
      <c r="M14" s="56"/>
      <c r="N14" s="54"/>
      <c r="O14" s="54"/>
    </row>
    <row r="15" spans="1:15" s="59" customFormat="1" ht="17.25" customHeight="1" x14ac:dyDescent="0.25">
      <c r="A15" s="57"/>
      <c r="B15" s="57"/>
      <c r="C15" s="57"/>
      <c r="D15" s="241"/>
      <c r="E15" s="58">
        <f>SUM($B$25:$B$35,$B$39:$B$42,$B$49:$B$169,$B$173:$B$262)</f>
        <v>0</v>
      </c>
      <c r="F15" s="107">
        <f>_xlfn.CEILING.PRECISE((SUMPRODUCT($B$25:$B$35,$F$25:$F$35)+SUMPRODUCT($B$49:$B$169,$G$49:$G$169)+SUMPRODUCT($B$173:$B$262,$G$173:$G$262))/10000,0.001)</f>
        <v>0</v>
      </c>
      <c r="G15" s="73">
        <f>(SUMPRODUCT($B$39:$B$42,$F$39:$F$42))/10000</f>
        <v>0</v>
      </c>
      <c r="H15" s="13">
        <v>0</v>
      </c>
      <c r="I15" s="172">
        <f>ROUNDUP($F$15,0)*(49*(1-$H$15))</f>
        <v>0</v>
      </c>
      <c r="J15" s="172">
        <f>ROUNDUP($G$15,0)*(65*(1-$H$15))</f>
        <v>0</v>
      </c>
      <c r="L15" s="55"/>
      <c r="M15" s="56" t="s">
        <v>19</v>
      </c>
      <c r="N15" s="57"/>
      <c r="O15" s="57"/>
    </row>
    <row r="16" spans="1:15" x14ac:dyDescent="0.2">
      <c r="A16" s="60"/>
      <c r="B16" s="60"/>
      <c r="C16" s="60"/>
      <c r="D16" s="61"/>
      <c r="E16" s="60"/>
      <c r="F16" s="60"/>
      <c r="G16" s="60"/>
      <c r="H16" s="61"/>
      <c r="I16" s="61"/>
      <c r="J16" s="62"/>
      <c r="K16" s="63"/>
      <c r="L16" s="60"/>
      <c r="M16" s="64"/>
      <c r="N16" s="63"/>
      <c r="O16" s="60"/>
    </row>
    <row r="17" spans="1:15" ht="12.75" customHeight="1" x14ac:dyDescent="0.2">
      <c r="A17" s="57"/>
      <c r="B17" s="57"/>
      <c r="C17" s="57"/>
      <c r="D17" s="241" t="s">
        <v>112</v>
      </c>
      <c r="E17" s="242" t="s">
        <v>93</v>
      </c>
      <c r="F17" s="242" t="s">
        <v>94</v>
      </c>
      <c r="G17" s="242"/>
      <c r="H17" s="242" t="s">
        <v>95</v>
      </c>
      <c r="I17" s="242" t="s">
        <v>96</v>
      </c>
      <c r="J17" s="242"/>
      <c r="K17" s="57"/>
      <c r="L17" s="55"/>
      <c r="M17" s="56"/>
      <c r="N17" s="57"/>
      <c r="O17" s="57"/>
    </row>
    <row r="18" spans="1:15" ht="38.25" x14ac:dyDescent="0.2">
      <c r="A18" s="54"/>
      <c r="B18" s="54"/>
      <c r="C18" s="54"/>
      <c r="D18" s="241"/>
      <c r="E18" s="242"/>
      <c r="F18" s="164" t="s">
        <v>97</v>
      </c>
      <c r="G18" s="164" t="s">
        <v>98</v>
      </c>
      <c r="H18" s="242"/>
      <c r="I18" s="164" t="s">
        <v>31</v>
      </c>
      <c r="J18" s="164" t="s">
        <v>32</v>
      </c>
      <c r="L18" s="55"/>
      <c r="M18" s="56"/>
      <c r="N18" s="54"/>
      <c r="O18" s="54"/>
    </row>
    <row r="19" spans="1:15" s="59" customFormat="1" ht="17.25" customHeight="1" x14ac:dyDescent="0.25">
      <c r="A19" s="57"/>
      <c r="B19" s="57"/>
      <c r="C19" s="57"/>
      <c r="D19" s="241"/>
      <c r="E19" s="58">
        <f>SUM($B$25:$B$35,$B$39:$B$42,$B$49:$B$169,$B$173:$B$262)</f>
        <v>0</v>
      </c>
      <c r="F19" s="107">
        <f>_xlfn.CEILING.PRECISE((SUMPRODUCT($B$25:$B$35,$F$25:$F$35)+SUMPRODUCT($B$49:$B$169,$G$49:$G$169)+SUMPRODUCT($B$173:$B$262,$G$173:$G$262))/25000,0.001)</f>
        <v>0</v>
      </c>
      <c r="G19" s="73">
        <f>(SUMPRODUCT($B$39:$B$42,$F$39:$F$42))/25000</f>
        <v>0</v>
      </c>
      <c r="H19" s="13">
        <v>0</v>
      </c>
      <c r="I19" s="172">
        <f>ROUNDUP($F$19,0)*(123.5*(1-$H$19))</f>
        <v>0</v>
      </c>
      <c r="J19" s="172">
        <f>ROUNDUP($G$19,0)*(158*(1-$H$19))</f>
        <v>0</v>
      </c>
      <c r="L19" s="108"/>
      <c r="M19" s="56" t="s">
        <v>19</v>
      </c>
      <c r="N19" s="57"/>
      <c r="O19" s="57"/>
    </row>
    <row r="20" spans="1:15" x14ac:dyDescent="0.2">
      <c r="A20" s="60"/>
      <c r="B20" s="60"/>
      <c r="C20" s="60"/>
      <c r="D20" s="61"/>
      <c r="E20" s="60"/>
      <c r="F20" s="60"/>
      <c r="G20" s="60"/>
      <c r="H20" s="61"/>
      <c r="I20" s="61"/>
      <c r="J20" s="62"/>
      <c r="K20" s="63"/>
      <c r="L20" s="60"/>
      <c r="M20" s="64"/>
      <c r="N20" s="63"/>
      <c r="O20" s="60"/>
    </row>
    <row r="21" spans="1:15" ht="23.25" customHeight="1" x14ac:dyDescent="0.2">
      <c r="A21" s="60"/>
      <c r="B21" s="232" t="s">
        <v>110</v>
      </c>
      <c r="C21" s="233"/>
      <c r="D21" s="233"/>
      <c r="E21" s="233"/>
      <c r="F21" s="233"/>
      <c r="G21" s="233"/>
      <c r="H21" s="233"/>
      <c r="I21" s="233"/>
      <c r="J21" s="233"/>
      <c r="K21" s="233"/>
      <c r="L21" s="234"/>
      <c r="M21" s="106"/>
      <c r="N21" s="106"/>
      <c r="O21" s="60"/>
    </row>
    <row r="22" spans="1:15" x14ac:dyDescent="0.2">
      <c r="A22" s="60"/>
      <c r="B22" s="60"/>
      <c r="C22" s="60"/>
      <c r="D22" s="61"/>
      <c r="E22" s="60"/>
      <c r="F22" s="60"/>
      <c r="G22" s="60"/>
      <c r="H22" s="61"/>
      <c r="I22" s="61"/>
      <c r="J22" s="62"/>
      <c r="K22" s="63"/>
      <c r="L22" s="60"/>
      <c r="M22" s="64"/>
      <c r="N22" s="63"/>
      <c r="O22" s="60"/>
    </row>
    <row r="23" spans="1:15" ht="21.75" customHeight="1" x14ac:dyDescent="0.2">
      <c r="A23" s="60"/>
      <c r="B23" s="238" t="s">
        <v>113</v>
      </c>
      <c r="C23" s="239"/>
      <c r="D23" s="239"/>
      <c r="E23" s="239"/>
      <c r="F23" s="239"/>
      <c r="G23" s="239"/>
      <c r="H23" s="239"/>
      <c r="I23" s="239"/>
      <c r="J23" s="239"/>
      <c r="K23" s="239"/>
      <c r="L23" s="240"/>
      <c r="M23" s="35"/>
      <c r="N23" s="35"/>
      <c r="O23" s="60"/>
    </row>
    <row r="24" spans="1:15" ht="25.5" x14ac:dyDescent="0.2">
      <c r="A24" s="60"/>
      <c r="B24" s="162" t="s">
        <v>99</v>
      </c>
      <c r="C24" s="162" t="s">
        <v>100</v>
      </c>
      <c r="D24" s="162" t="s">
        <v>101</v>
      </c>
      <c r="E24" s="162" t="s">
        <v>102</v>
      </c>
      <c r="F24" s="162" t="s">
        <v>103</v>
      </c>
      <c r="G24" s="162" t="s">
        <v>104</v>
      </c>
      <c r="H24" s="162" t="s">
        <v>105</v>
      </c>
      <c r="I24" s="162" t="s">
        <v>106</v>
      </c>
      <c r="J24" s="162" t="s">
        <v>95</v>
      </c>
      <c r="K24" s="162" t="s">
        <v>107</v>
      </c>
      <c r="L24" s="162" t="s">
        <v>108</v>
      </c>
    </row>
    <row r="25" spans="1:15" x14ac:dyDescent="0.2">
      <c r="A25" s="57"/>
      <c r="B25" s="11"/>
      <c r="C25" s="65">
        <v>16</v>
      </c>
      <c r="D25" s="65" t="s">
        <v>124</v>
      </c>
      <c r="E25" s="158">
        <v>1</v>
      </c>
      <c r="F25" s="159">
        <f t="shared" ref="F25:F33" si="0">(C25+4)*PI()</f>
        <v>62.831853071795862</v>
      </c>
      <c r="G25" s="72">
        <f t="shared" ref="G25:G35" si="1">10000/F25</f>
        <v>159.15494309189535</v>
      </c>
      <c r="H25" s="211">
        <v>49</v>
      </c>
      <c r="I25" s="171">
        <f>H25/G25</f>
        <v>0.30787608005179973</v>
      </c>
      <c r="J25" s="10">
        <v>0</v>
      </c>
      <c r="K25" s="171">
        <f t="shared" ref="K25:K35" si="2">I25*(1-J25)</f>
        <v>0.30787608005179973</v>
      </c>
      <c r="L25" s="171">
        <f>B25*K25</f>
        <v>0</v>
      </c>
    </row>
    <row r="26" spans="1:15" x14ac:dyDescent="0.2">
      <c r="A26" s="60"/>
      <c r="B26" s="11"/>
      <c r="C26" s="65">
        <v>20</v>
      </c>
      <c r="D26" s="65" t="s">
        <v>124</v>
      </c>
      <c r="E26" s="158">
        <v>1</v>
      </c>
      <c r="F26" s="159">
        <f t="shared" ref="F26" si="3">(C26+4)*PI()</f>
        <v>75.398223686155035</v>
      </c>
      <c r="G26" s="72">
        <f t="shared" si="1"/>
        <v>132.62911924324612</v>
      </c>
      <c r="H26" s="211">
        <v>49</v>
      </c>
      <c r="I26" s="171">
        <f t="shared" ref="I26:I35" si="4">H26/G26</f>
        <v>0.36945129606215965</v>
      </c>
      <c r="J26" s="66">
        <f t="shared" ref="J26:J35" si="5">$J$25</f>
        <v>0</v>
      </c>
      <c r="K26" s="171">
        <f t="shared" si="2"/>
        <v>0.36945129606215965</v>
      </c>
      <c r="L26" s="171">
        <f t="shared" ref="L26" si="6">B26*K26</f>
        <v>0</v>
      </c>
    </row>
    <row r="27" spans="1:15" x14ac:dyDescent="0.2">
      <c r="A27" s="60"/>
      <c r="B27" s="11"/>
      <c r="C27" s="65">
        <v>25</v>
      </c>
      <c r="D27" s="65" t="s">
        <v>124</v>
      </c>
      <c r="E27" s="158">
        <v>1</v>
      </c>
      <c r="F27" s="159">
        <f t="shared" si="0"/>
        <v>91.106186954104004</v>
      </c>
      <c r="G27" s="72">
        <f t="shared" si="1"/>
        <v>109.7620297185485</v>
      </c>
      <c r="H27" s="211">
        <v>49</v>
      </c>
      <c r="I27" s="171">
        <f t="shared" si="4"/>
        <v>0.44642031607510962</v>
      </c>
      <c r="J27" s="66">
        <f t="shared" si="5"/>
        <v>0</v>
      </c>
      <c r="K27" s="171">
        <f t="shared" si="2"/>
        <v>0.44642031607510962</v>
      </c>
      <c r="L27" s="171">
        <f t="shared" ref="L27" si="7">B27*K27</f>
        <v>0</v>
      </c>
    </row>
    <row r="28" spans="1:15" x14ac:dyDescent="0.2">
      <c r="A28" s="60"/>
      <c r="B28" s="11"/>
      <c r="C28" s="65">
        <v>32</v>
      </c>
      <c r="D28" s="65" t="s">
        <v>124</v>
      </c>
      <c r="E28" s="158">
        <v>1</v>
      </c>
      <c r="F28" s="159">
        <f t="shared" ref="F28" si="8">(C28+4)*PI()</f>
        <v>113.09733552923255</v>
      </c>
      <c r="G28" s="72">
        <f t="shared" si="1"/>
        <v>88.419412828830744</v>
      </c>
      <c r="H28" s="211">
        <v>49</v>
      </c>
      <c r="I28" s="171">
        <f t="shared" si="4"/>
        <v>0.55417694409323948</v>
      </c>
      <c r="J28" s="66">
        <f t="shared" si="5"/>
        <v>0</v>
      </c>
      <c r="K28" s="171">
        <f t="shared" si="2"/>
        <v>0.55417694409323948</v>
      </c>
      <c r="L28" s="171">
        <f t="shared" ref="L28" si="9">B28*K28</f>
        <v>0</v>
      </c>
    </row>
    <row r="29" spans="1:15" x14ac:dyDescent="0.2">
      <c r="A29" s="60"/>
      <c r="B29" s="11"/>
      <c r="C29" s="65">
        <v>40</v>
      </c>
      <c r="D29" s="65" t="s">
        <v>124</v>
      </c>
      <c r="E29" s="158">
        <v>1</v>
      </c>
      <c r="F29" s="159">
        <f t="shared" si="0"/>
        <v>138.23007675795088</v>
      </c>
      <c r="G29" s="72">
        <f t="shared" si="1"/>
        <v>72.343155950861529</v>
      </c>
      <c r="H29" s="211">
        <v>49</v>
      </c>
      <c r="I29" s="171">
        <f t="shared" si="4"/>
        <v>0.67732737611395932</v>
      </c>
      <c r="J29" s="66">
        <f t="shared" si="5"/>
        <v>0</v>
      </c>
      <c r="K29" s="171">
        <f t="shared" si="2"/>
        <v>0.67732737611395932</v>
      </c>
      <c r="L29" s="171">
        <f t="shared" ref="L29:L35" si="10">B29*K29</f>
        <v>0</v>
      </c>
    </row>
    <row r="30" spans="1:15" x14ac:dyDescent="0.2">
      <c r="A30" s="60"/>
      <c r="B30" s="11"/>
      <c r="C30" s="65">
        <v>50</v>
      </c>
      <c r="D30" s="65" t="s">
        <v>124</v>
      </c>
      <c r="E30" s="158">
        <v>1</v>
      </c>
      <c r="F30" s="159">
        <f t="shared" si="0"/>
        <v>169.64600329384882</v>
      </c>
      <c r="G30" s="72">
        <f t="shared" si="1"/>
        <v>58.946275219220496</v>
      </c>
      <c r="H30" s="211">
        <v>49</v>
      </c>
      <c r="I30" s="171">
        <f t="shared" si="4"/>
        <v>0.83126541613985927</v>
      </c>
      <c r="J30" s="66">
        <f t="shared" si="5"/>
        <v>0</v>
      </c>
      <c r="K30" s="171">
        <f t="shared" si="2"/>
        <v>0.83126541613985927</v>
      </c>
      <c r="L30" s="171">
        <f t="shared" si="10"/>
        <v>0</v>
      </c>
    </row>
    <row r="31" spans="1:15" x14ac:dyDescent="0.2">
      <c r="A31" s="60"/>
      <c r="B31" s="11"/>
      <c r="C31" s="65">
        <v>55</v>
      </c>
      <c r="D31" s="65" t="s">
        <v>124</v>
      </c>
      <c r="E31" s="158">
        <v>1</v>
      </c>
      <c r="F31" s="159">
        <f t="shared" si="0"/>
        <v>185.35396656179779</v>
      </c>
      <c r="G31" s="72">
        <f t="shared" si="1"/>
        <v>53.950828166744188</v>
      </c>
      <c r="H31" s="211">
        <v>49</v>
      </c>
      <c r="I31" s="171">
        <f t="shared" si="4"/>
        <v>0.90823443615280908</v>
      </c>
      <c r="J31" s="66">
        <f t="shared" si="5"/>
        <v>0</v>
      </c>
      <c r="K31" s="171">
        <f t="shared" si="2"/>
        <v>0.90823443615280908</v>
      </c>
      <c r="L31" s="171">
        <f t="shared" si="10"/>
        <v>0</v>
      </c>
      <c r="M31" s="104"/>
    </row>
    <row r="32" spans="1:15" x14ac:dyDescent="0.2">
      <c r="A32" s="60"/>
      <c r="B32" s="11"/>
      <c r="C32" s="65">
        <v>63</v>
      </c>
      <c r="D32" s="65" t="s">
        <v>124</v>
      </c>
      <c r="E32" s="158">
        <v>1</v>
      </c>
      <c r="F32" s="159">
        <f t="shared" si="0"/>
        <v>210.48670779051614</v>
      </c>
      <c r="G32" s="72">
        <f t="shared" si="1"/>
        <v>47.508938236386669</v>
      </c>
      <c r="H32" s="211">
        <v>49</v>
      </c>
      <c r="I32" s="171">
        <f t="shared" si="4"/>
        <v>1.0313848681735291</v>
      </c>
      <c r="J32" s="66">
        <f t="shared" si="5"/>
        <v>0</v>
      </c>
      <c r="K32" s="171">
        <f t="shared" si="2"/>
        <v>1.0313848681735291</v>
      </c>
      <c r="L32" s="171">
        <f t="shared" si="10"/>
        <v>0</v>
      </c>
    </row>
    <row r="33" spans="1:15" x14ac:dyDescent="0.2">
      <c r="A33" s="60"/>
      <c r="B33" s="11"/>
      <c r="C33" s="65">
        <v>75</v>
      </c>
      <c r="D33" s="65" t="s">
        <v>124</v>
      </c>
      <c r="E33" s="158">
        <v>1</v>
      </c>
      <c r="F33" s="159">
        <f t="shared" si="0"/>
        <v>248.18581963359367</v>
      </c>
      <c r="G33" s="72">
        <f t="shared" si="1"/>
        <v>40.292390656176032</v>
      </c>
      <c r="H33" s="211">
        <v>49</v>
      </c>
      <c r="I33" s="171">
        <f t="shared" si="4"/>
        <v>1.2161105162046091</v>
      </c>
      <c r="J33" s="66">
        <f t="shared" si="5"/>
        <v>0</v>
      </c>
      <c r="K33" s="171">
        <f t="shared" si="2"/>
        <v>1.2161105162046091</v>
      </c>
      <c r="L33" s="171">
        <f t="shared" si="10"/>
        <v>0</v>
      </c>
    </row>
    <row r="34" spans="1:15" x14ac:dyDescent="0.2">
      <c r="A34" s="60"/>
      <c r="B34" s="11"/>
      <c r="C34" s="65">
        <v>90</v>
      </c>
      <c r="D34" s="65" t="s">
        <v>124</v>
      </c>
      <c r="E34" s="158">
        <v>2</v>
      </c>
      <c r="F34" s="159">
        <f>((C34+4)*PI())+((C34+8)*PI())</f>
        <v>603.18578948924028</v>
      </c>
      <c r="G34" s="72">
        <f t="shared" si="1"/>
        <v>16.578639905405765</v>
      </c>
      <c r="H34" s="211">
        <v>49</v>
      </c>
      <c r="I34" s="171">
        <f t="shared" si="4"/>
        <v>2.9556103684972772</v>
      </c>
      <c r="J34" s="66">
        <f t="shared" si="5"/>
        <v>0</v>
      </c>
      <c r="K34" s="171">
        <f t="shared" si="2"/>
        <v>2.9556103684972772</v>
      </c>
      <c r="L34" s="171">
        <f t="shared" si="10"/>
        <v>0</v>
      </c>
    </row>
    <row r="35" spans="1:15" x14ac:dyDescent="0.2">
      <c r="A35" s="60"/>
      <c r="B35" s="11"/>
      <c r="C35" s="65">
        <v>110</v>
      </c>
      <c r="D35" s="65" t="s">
        <v>124</v>
      </c>
      <c r="E35" s="158">
        <v>2</v>
      </c>
      <c r="F35" s="159">
        <f>((C35+4)*PI())+((C35+8)*PI())</f>
        <v>728.84949563283203</v>
      </c>
      <c r="G35" s="72">
        <f t="shared" si="1"/>
        <v>13.720253714818563</v>
      </c>
      <c r="H35" s="211">
        <v>49</v>
      </c>
      <c r="I35" s="171">
        <f t="shared" si="4"/>
        <v>3.571362528600877</v>
      </c>
      <c r="J35" s="66">
        <f t="shared" si="5"/>
        <v>0</v>
      </c>
      <c r="K35" s="171">
        <f t="shared" si="2"/>
        <v>3.571362528600877</v>
      </c>
      <c r="L35" s="171">
        <f t="shared" si="10"/>
        <v>0</v>
      </c>
    </row>
    <row r="36" spans="1:15" x14ac:dyDescent="0.2">
      <c r="A36" s="60"/>
      <c r="B36" s="67"/>
      <c r="C36" s="67"/>
      <c r="D36" s="68"/>
      <c r="E36" s="67"/>
      <c r="F36" s="67"/>
      <c r="G36" s="67"/>
      <c r="J36" s="69"/>
      <c r="K36" s="70"/>
      <c r="L36" s="70"/>
      <c r="M36" s="71"/>
      <c r="N36" s="70"/>
      <c r="O36" s="60"/>
    </row>
    <row r="37" spans="1:15" ht="23.25" customHeight="1" x14ac:dyDescent="0.2">
      <c r="A37" s="60"/>
      <c r="B37" s="238" t="s">
        <v>114</v>
      </c>
      <c r="C37" s="239"/>
      <c r="D37" s="239"/>
      <c r="E37" s="239"/>
      <c r="F37" s="239"/>
      <c r="G37" s="239"/>
      <c r="H37" s="239"/>
      <c r="I37" s="239"/>
      <c r="J37" s="239"/>
      <c r="K37" s="239"/>
      <c r="L37" s="240"/>
      <c r="M37" s="35"/>
      <c r="N37" s="35"/>
      <c r="O37" s="60"/>
    </row>
    <row r="38" spans="1:15" ht="25.5" x14ac:dyDescent="0.2">
      <c r="A38" s="60"/>
      <c r="B38" s="162" t="s">
        <v>99</v>
      </c>
      <c r="C38" s="162" t="s">
        <v>100</v>
      </c>
      <c r="D38" s="162" t="s">
        <v>101</v>
      </c>
      <c r="E38" s="162" t="s">
        <v>102</v>
      </c>
      <c r="F38" s="162" t="s">
        <v>103</v>
      </c>
      <c r="G38" s="162" t="s">
        <v>104</v>
      </c>
      <c r="H38" s="162" t="s">
        <v>105</v>
      </c>
      <c r="I38" s="162" t="s">
        <v>106</v>
      </c>
      <c r="J38" s="162" t="s">
        <v>95</v>
      </c>
      <c r="K38" s="162" t="s">
        <v>107</v>
      </c>
      <c r="L38" s="162" t="s">
        <v>108</v>
      </c>
    </row>
    <row r="39" spans="1:15" x14ac:dyDescent="0.2">
      <c r="A39" s="60"/>
      <c r="B39" s="11"/>
      <c r="C39" s="65">
        <v>125</v>
      </c>
      <c r="D39" s="65" t="s">
        <v>124</v>
      </c>
      <c r="E39" s="158">
        <v>4</v>
      </c>
      <c r="F39" s="159">
        <f>((C39+4)*PI())+((C39+8)*PI())+((C39+12)*PI())+((C39+16)*PI())</f>
        <v>1696.4600329384882</v>
      </c>
      <c r="G39" s="72">
        <f>10000/F39</f>
        <v>5.8946275219220503</v>
      </c>
      <c r="H39" s="171">
        <v>65</v>
      </c>
      <c r="I39" s="171">
        <f>H39/G39</f>
        <v>11.026990214100172</v>
      </c>
      <c r="J39" s="10">
        <v>0</v>
      </c>
      <c r="K39" s="171">
        <f>I39*(1-J39)</f>
        <v>11.026990214100172</v>
      </c>
      <c r="L39" s="171">
        <f>B39*K39</f>
        <v>0</v>
      </c>
    </row>
    <row r="40" spans="1:15" x14ac:dyDescent="0.2">
      <c r="A40" s="60"/>
      <c r="B40" s="11"/>
      <c r="C40" s="65">
        <v>160</v>
      </c>
      <c r="D40" s="65" t="s">
        <v>124</v>
      </c>
      <c r="E40" s="158">
        <v>5</v>
      </c>
      <c r="F40" s="159">
        <f>((C40+4)*PI())+((C40+8)*PI())+((C40+12)*PI())+((C40+16)*PI())+((C40+20)*PI())</f>
        <v>2701.769682087222</v>
      </c>
      <c r="G40" s="72">
        <f>10000/F40</f>
        <v>3.7012777463231474</v>
      </c>
      <c r="H40" s="171">
        <v>65</v>
      </c>
      <c r="I40" s="171">
        <f>H40/G40</f>
        <v>17.561502933566945</v>
      </c>
      <c r="J40" s="66">
        <f>$J$39</f>
        <v>0</v>
      </c>
      <c r="K40" s="171">
        <f>I40*(1-J40)</f>
        <v>17.561502933566945</v>
      </c>
      <c r="L40" s="171">
        <f t="shared" ref="L40:L42" si="11">B40*K40</f>
        <v>0</v>
      </c>
    </row>
    <row r="41" spans="1:15" x14ac:dyDescent="0.2">
      <c r="A41" s="60"/>
      <c r="B41" s="11"/>
      <c r="C41" s="65">
        <v>200</v>
      </c>
      <c r="D41" s="65" t="s">
        <v>124</v>
      </c>
      <c r="E41" s="158">
        <v>8</v>
      </c>
      <c r="F41" s="159">
        <f>((C41+4)*PI())+((C41+8)*PI())+((C41+12)*PI())+((C41+16)*PI())+((C41+20)*PI())+((C41+24)*PI())+((C41+28)*PI())+((C41+32)*PI())</f>
        <v>5478.9375878605997</v>
      </c>
      <c r="G41" s="72">
        <f>10000/F41</f>
        <v>1.8251713657327446</v>
      </c>
      <c r="H41" s="171">
        <v>65</v>
      </c>
      <c r="I41" s="171">
        <f>H41/G41</f>
        <v>35.613094321093897</v>
      </c>
      <c r="J41" s="66">
        <f>$J$39</f>
        <v>0</v>
      </c>
      <c r="K41" s="171">
        <f>I41*(1-J41)</f>
        <v>35.613094321093897</v>
      </c>
      <c r="L41" s="171">
        <f t="shared" si="11"/>
        <v>0</v>
      </c>
    </row>
    <row r="42" spans="1:15" x14ac:dyDescent="0.2">
      <c r="A42" s="60"/>
      <c r="B42" s="11"/>
      <c r="C42" s="65">
        <v>200</v>
      </c>
      <c r="D42" s="65" t="s">
        <v>124</v>
      </c>
      <c r="E42" s="158">
        <v>8</v>
      </c>
      <c r="F42" s="159">
        <f>((C42+4)*PI())+((C42+8)*PI())+((C42+12)*PI())+((C42+16)*PI())+((C42+20)*PI())+((C42+24)*PI())+((C42+28)*PI())+((C42+32)*PI())</f>
        <v>5478.9375878605997</v>
      </c>
      <c r="G42" s="72">
        <f>10000/F42</f>
        <v>1.8251713657327446</v>
      </c>
      <c r="H42" s="171">
        <v>65</v>
      </c>
      <c r="I42" s="171">
        <f>H42/G42</f>
        <v>35.613094321093897</v>
      </c>
      <c r="J42" s="66">
        <f>$J$39</f>
        <v>0</v>
      </c>
      <c r="K42" s="171">
        <f>I42*(1-J42)</f>
        <v>35.613094321093897</v>
      </c>
      <c r="L42" s="171">
        <f t="shared" si="11"/>
        <v>0</v>
      </c>
    </row>
    <row r="43" spans="1:15" x14ac:dyDescent="0.2">
      <c r="A43" s="60"/>
      <c r="B43" s="67"/>
      <c r="C43" s="67"/>
      <c r="D43" s="68"/>
      <c r="E43" s="67"/>
      <c r="F43" s="67"/>
      <c r="G43" s="67"/>
      <c r="J43" s="105"/>
      <c r="K43" s="70"/>
      <c r="L43" s="70"/>
      <c r="M43" s="71"/>
      <c r="N43" s="70"/>
      <c r="O43" s="60"/>
    </row>
    <row r="44" spans="1:15" x14ac:dyDescent="0.2">
      <c r="A44" s="60"/>
      <c r="B44" s="60"/>
      <c r="C44" s="60"/>
      <c r="D44" s="61"/>
      <c r="E44" s="60"/>
      <c r="F44" s="60"/>
      <c r="G44" s="60"/>
      <c r="H44" s="61"/>
      <c r="I44" s="61"/>
      <c r="J44" s="62"/>
      <c r="K44" s="63"/>
      <c r="L44" s="63"/>
      <c r="M44" s="64"/>
      <c r="N44" s="63"/>
      <c r="O44" s="60"/>
    </row>
    <row r="45" spans="1:15" ht="23.25" customHeight="1" x14ac:dyDescent="0.2">
      <c r="A45" s="60"/>
      <c r="B45" s="232" t="s">
        <v>109</v>
      </c>
      <c r="C45" s="233"/>
      <c r="D45" s="233"/>
      <c r="E45" s="233"/>
      <c r="F45" s="233"/>
      <c r="G45" s="233"/>
      <c r="H45" s="233"/>
      <c r="I45" s="233"/>
      <c r="J45" s="233"/>
      <c r="K45" s="233"/>
      <c r="L45" s="234"/>
      <c r="M45" s="106"/>
      <c r="N45" s="106"/>
      <c r="O45" s="60"/>
    </row>
    <row r="46" spans="1:15" x14ac:dyDescent="0.2">
      <c r="A46" s="60"/>
      <c r="B46" s="60"/>
      <c r="C46" s="60"/>
      <c r="D46" s="61"/>
      <c r="E46" s="60"/>
      <c r="F46" s="60"/>
      <c r="G46" s="60"/>
      <c r="H46" s="61"/>
      <c r="I46" s="61"/>
      <c r="J46" s="62"/>
      <c r="K46" s="63"/>
      <c r="L46" s="63"/>
      <c r="M46" s="64"/>
      <c r="N46" s="63"/>
      <c r="O46" s="60"/>
    </row>
    <row r="47" spans="1:15" ht="26.25" customHeight="1" x14ac:dyDescent="0.2">
      <c r="A47" s="60"/>
      <c r="B47" s="238" t="s">
        <v>117</v>
      </c>
      <c r="C47" s="239"/>
      <c r="D47" s="239"/>
      <c r="E47" s="239"/>
      <c r="F47" s="239"/>
      <c r="G47" s="239"/>
      <c r="H47" s="239"/>
      <c r="I47" s="239"/>
      <c r="J47" s="239"/>
      <c r="K47" s="239"/>
      <c r="L47" s="240"/>
      <c r="M47" s="35"/>
      <c r="N47" s="35"/>
      <c r="O47" s="60"/>
    </row>
    <row r="48" spans="1:15" ht="38.25" x14ac:dyDescent="0.2">
      <c r="A48" s="60"/>
      <c r="B48" s="162" t="s">
        <v>99</v>
      </c>
      <c r="C48" s="162" t="s">
        <v>100</v>
      </c>
      <c r="D48" s="162" t="s">
        <v>115</v>
      </c>
      <c r="E48" s="162" t="s">
        <v>101</v>
      </c>
      <c r="F48" s="162" t="s">
        <v>102</v>
      </c>
      <c r="G48" s="162" t="s">
        <v>103</v>
      </c>
      <c r="H48" s="162" t="s">
        <v>104</v>
      </c>
      <c r="I48" s="162" t="s">
        <v>105</v>
      </c>
      <c r="J48" s="162" t="s">
        <v>106</v>
      </c>
      <c r="K48" s="162" t="s">
        <v>95</v>
      </c>
      <c r="L48" s="162" t="s">
        <v>107</v>
      </c>
      <c r="M48" s="60"/>
    </row>
    <row r="49" spans="1:13" x14ac:dyDescent="0.2">
      <c r="A49" s="60"/>
      <c r="B49" s="12"/>
      <c r="C49" s="237">
        <v>21.3</v>
      </c>
      <c r="D49" s="74" t="s">
        <v>116</v>
      </c>
      <c r="E49" s="65">
        <v>9</v>
      </c>
      <c r="F49" s="158">
        <v>1</v>
      </c>
      <c r="G49" s="159">
        <f>($C$49+E49+E49+4)*PI()</f>
        <v>136.03096190043803</v>
      </c>
      <c r="H49" s="72">
        <f>10000/G49</f>
        <v>73.512675793023263</v>
      </c>
      <c r="I49" s="211">
        <v>49</v>
      </c>
      <c r="J49" s="171">
        <f t="shared" ref="J49:J110" si="12">I49/H49</f>
        <v>0.66655171331214635</v>
      </c>
      <c r="K49" s="10">
        <v>0</v>
      </c>
      <c r="L49" s="171">
        <f t="shared" ref="L49:L110" si="13">J49*(1-K49)</f>
        <v>0.66655171331214635</v>
      </c>
      <c r="M49" s="60"/>
    </row>
    <row r="50" spans="1:13" x14ac:dyDescent="0.2">
      <c r="A50" s="60"/>
      <c r="B50" s="12"/>
      <c r="C50" s="237"/>
      <c r="D50" s="74" t="s">
        <v>116</v>
      </c>
      <c r="E50" s="65">
        <v>10</v>
      </c>
      <c r="F50" s="158">
        <v>2</v>
      </c>
      <c r="G50" s="159">
        <f>($C$49+E50+E50+4)*PI()+($C$49+E50+E50+8)*PI()</f>
        <v>297.19466502959438</v>
      </c>
      <c r="H50" s="72">
        <f t="shared" ref="H50:H158" si="14">10000/G50</f>
        <v>33.64797951202862</v>
      </c>
      <c r="I50" s="211">
        <v>49</v>
      </c>
      <c r="J50" s="171">
        <f t="shared" si="12"/>
        <v>1.4562538586450124</v>
      </c>
      <c r="K50" s="66">
        <f t="shared" ref="K50:K108" si="15">$K$49</f>
        <v>0</v>
      </c>
      <c r="L50" s="171">
        <f t="shared" si="13"/>
        <v>1.4562538586450124</v>
      </c>
      <c r="M50" s="60"/>
    </row>
    <row r="51" spans="1:13" x14ac:dyDescent="0.2">
      <c r="A51" s="60"/>
      <c r="B51" s="12"/>
      <c r="C51" s="237"/>
      <c r="D51" s="74" t="s">
        <v>116</v>
      </c>
      <c r="E51" s="65">
        <v>13</v>
      </c>
      <c r="F51" s="158">
        <v>2</v>
      </c>
      <c r="G51" s="159">
        <f>($C$49+E51+E51+4)*PI()+($C$49+E51+E51+8)*PI()</f>
        <v>334.89377687267194</v>
      </c>
      <c r="H51" s="72">
        <f t="shared" si="14"/>
        <v>29.860214463770234</v>
      </c>
      <c r="I51" s="211">
        <v>49</v>
      </c>
      <c r="J51" s="171">
        <f t="shared" si="12"/>
        <v>1.6409795066760926</v>
      </c>
      <c r="K51" s="66">
        <f t="shared" si="15"/>
        <v>0</v>
      </c>
      <c r="L51" s="171">
        <f t="shared" si="13"/>
        <v>1.6409795066760926</v>
      </c>
      <c r="M51" s="60"/>
    </row>
    <row r="52" spans="1:13" x14ac:dyDescent="0.2">
      <c r="A52" s="60"/>
      <c r="B52" s="12"/>
      <c r="C52" s="237"/>
      <c r="D52" s="74" t="s">
        <v>116</v>
      </c>
      <c r="E52" s="65">
        <v>16</v>
      </c>
      <c r="F52" s="158">
        <v>2</v>
      </c>
      <c r="G52" s="159">
        <f>($C$49+E52+E52+4)*PI()+($C$49+E52+E52+8)*PI()</f>
        <v>372.59288871574944</v>
      </c>
      <c r="H52" s="72">
        <f t="shared" si="14"/>
        <v>26.838944872157732</v>
      </c>
      <c r="I52" s="211">
        <v>49</v>
      </c>
      <c r="J52" s="171">
        <f t="shared" si="12"/>
        <v>1.8257051547071723</v>
      </c>
      <c r="K52" s="66">
        <f t="shared" si="15"/>
        <v>0</v>
      </c>
      <c r="L52" s="171">
        <f t="shared" si="13"/>
        <v>1.8257051547071723</v>
      </c>
      <c r="M52" s="60"/>
    </row>
    <row r="53" spans="1:13" x14ac:dyDescent="0.2">
      <c r="A53" s="60"/>
      <c r="B53" s="12"/>
      <c r="C53" s="237"/>
      <c r="D53" s="74" t="s">
        <v>116</v>
      </c>
      <c r="E53" s="65">
        <v>19</v>
      </c>
      <c r="F53" s="158">
        <v>2</v>
      </c>
      <c r="G53" s="159">
        <f>($C$49+E53+E53+4)*PI()+($C$49+E53+E53+8)*PI()</f>
        <v>410.292000558827</v>
      </c>
      <c r="H53" s="72">
        <f t="shared" si="14"/>
        <v>24.372885618973253</v>
      </c>
      <c r="I53" s="211">
        <v>49</v>
      </c>
      <c r="J53" s="171">
        <f t="shared" ref="J53" si="16">I53/H53</f>
        <v>2.0104308027382523</v>
      </c>
      <c r="K53" s="66">
        <f t="shared" si="15"/>
        <v>0</v>
      </c>
      <c r="L53" s="171">
        <f t="shared" ref="L53" si="17">J53*(1-K53)</f>
        <v>2.0104308027382523</v>
      </c>
      <c r="M53" s="60"/>
    </row>
    <row r="54" spans="1:13" x14ac:dyDescent="0.2">
      <c r="A54" s="60"/>
      <c r="B54" s="12"/>
      <c r="C54" s="237"/>
      <c r="D54" s="74" t="s">
        <v>116</v>
      </c>
      <c r="E54" s="65">
        <v>25</v>
      </c>
      <c r="F54" s="158">
        <v>3</v>
      </c>
      <c r="G54" s="159">
        <f>($C$49+E54+E54+4)*PI()+($C$49+E54+E54+8)*PI()+($C$49+E54+E54+12)*PI()</f>
        <v>747.38489228901176</v>
      </c>
      <c r="H54" s="72">
        <f t="shared" si="14"/>
        <v>13.37998680890251</v>
      </c>
      <c r="I54" s="211">
        <v>49</v>
      </c>
      <c r="J54" s="171">
        <f t="shared" si="12"/>
        <v>3.6621859722161574</v>
      </c>
      <c r="K54" s="66">
        <f t="shared" si="15"/>
        <v>0</v>
      </c>
      <c r="L54" s="171">
        <f t="shared" si="13"/>
        <v>3.6621859722161574</v>
      </c>
      <c r="M54" s="60"/>
    </row>
    <row r="55" spans="1:13" x14ac:dyDescent="0.2">
      <c r="A55" s="60"/>
      <c r="B55" s="12"/>
      <c r="C55" s="237"/>
      <c r="D55" s="74" t="s">
        <v>116</v>
      </c>
      <c r="E55" s="65">
        <v>32</v>
      </c>
      <c r="F55" s="158">
        <v>3</v>
      </c>
      <c r="G55" s="159">
        <f>($C$49+E55+E55+4)*PI()+($C$49+E55+E55+8)*PI()+($C$49+E55+E55+12)*PI()</f>
        <v>879.33178373978308</v>
      </c>
      <c r="H55" s="72">
        <f t="shared" si="14"/>
        <v>11.372271746473407</v>
      </c>
      <c r="I55" s="211">
        <v>49</v>
      </c>
      <c r="J55" s="171">
        <f t="shared" ref="J55" si="18">I55/H55</f>
        <v>4.3087257403249373</v>
      </c>
      <c r="K55" s="66">
        <f t="shared" si="15"/>
        <v>0</v>
      </c>
      <c r="L55" s="171">
        <f t="shared" ref="L55" si="19">J55*(1-K55)</f>
        <v>4.3087257403249373</v>
      </c>
      <c r="M55" s="60"/>
    </row>
    <row r="56" spans="1:13" x14ac:dyDescent="0.2">
      <c r="A56" s="60"/>
      <c r="B56" s="12"/>
      <c r="C56" s="237"/>
      <c r="D56" s="74" t="s">
        <v>116</v>
      </c>
      <c r="E56" s="65">
        <v>40</v>
      </c>
      <c r="F56" s="158">
        <v>4</v>
      </c>
      <c r="G56" s="159">
        <f>($C$49+E56+E56+4)*PI()+($C$49+E56+E56+8)*PI()+($C$49+E56+E56+12)*PI()+($C$49+E56+E56+16)*PI()</f>
        <v>1398.6370493781758</v>
      </c>
      <c r="H56" s="72">
        <f t="shared" si="14"/>
        <v>7.1498177489620556</v>
      </c>
      <c r="I56" s="211">
        <v>49</v>
      </c>
      <c r="J56" s="171">
        <f t="shared" si="12"/>
        <v>6.8533215419530613</v>
      </c>
      <c r="K56" s="66">
        <f t="shared" si="15"/>
        <v>0</v>
      </c>
      <c r="L56" s="171">
        <f t="shared" si="13"/>
        <v>6.8533215419530613</v>
      </c>
      <c r="M56" s="60"/>
    </row>
    <row r="57" spans="1:13" x14ac:dyDescent="0.2">
      <c r="A57" s="60"/>
      <c r="B57" s="12"/>
      <c r="C57" s="237"/>
      <c r="D57" s="74" t="s">
        <v>116</v>
      </c>
      <c r="E57" s="65">
        <v>50</v>
      </c>
      <c r="F57" s="158">
        <v>4</v>
      </c>
      <c r="G57" s="159">
        <f>($C$49+E57+E57+4)*PI()+($C$49+E57+E57+8)*PI()+($C$49+E57+E57+12)*PI()+($C$49+E57+E57+16)*PI()</f>
        <v>1649.9644616653593</v>
      </c>
      <c r="H57" s="72">
        <f t="shared" si="14"/>
        <v>6.0607365990820776</v>
      </c>
      <c r="I57" s="211">
        <v>49</v>
      </c>
      <c r="J57" s="171">
        <f t="shared" ref="J57:J84" si="20">I57/H57</f>
        <v>8.08482586216026</v>
      </c>
      <c r="K57" s="66">
        <f t="shared" si="15"/>
        <v>0</v>
      </c>
      <c r="L57" s="171">
        <f t="shared" ref="L57:L84" si="21">J57*(1-K57)</f>
        <v>8.08482586216026</v>
      </c>
      <c r="M57" s="60"/>
    </row>
    <row r="58" spans="1:13" x14ac:dyDescent="0.2">
      <c r="A58" s="60"/>
      <c r="B58" s="12"/>
      <c r="C58" s="237">
        <v>26.9</v>
      </c>
      <c r="D58" s="74" t="s">
        <v>116</v>
      </c>
      <c r="E58" s="65">
        <v>9</v>
      </c>
      <c r="F58" s="158">
        <v>1</v>
      </c>
      <c r="G58" s="159">
        <f>($C$58+E58+E58+4)*PI()</f>
        <v>153.62388076054089</v>
      </c>
      <c r="H58" s="72">
        <f t="shared" ref="H58:H66" si="22">10000/G58</f>
        <v>65.094046254353927</v>
      </c>
      <c r="I58" s="211">
        <v>49</v>
      </c>
      <c r="J58" s="171">
        <f t="shared" si="20"/>
        <v>0.75275701572665032</v>
      </c>
      <c r="K58" s="66">
        <f t="shared" si="15"/>
        <v>0</v>
      </c>
      <c r="L58" s="171">
        <f>J58*(1-K58)</f>
        <v>0.75275701572665032</v>
      </c>
      <c r="M58" s="60"/>
    </row>
    <row r="59" spans="1:13" x14ac:dyDescent="0.2">
      <c r="A59" s="60"/>
      <c r="B59" s="12"/>
      <c r="C59" s="237"/>
      <c r="D59" s="74" t="s">
        <v>116</v>
      </c>
      <c r="E59" s="65">
        <v>10</v>
      </c>
      <c r="F59" s="158">
        <v>2</v>
      </c>
      <c r="G59" s="159">
        <f>($C$58+E59+E59+4)*PI()+($C$58+E59+E59+8)*PI()</f>
        <v>332.38050274980014</v>
      </c>
      <c r="H59" s="72">
        <f t="shared" si="22"/>
        <v>30.086000584479269</v>
      </c>
      <c r="I59" s="211">
        <v>49</v>
      </c>
      <c r="J59" s="171">
        <f t="shared" si="20"/>
        <v>1.6286644634740206</v>
      </c>
      <c r="K59" s="66">
        <f t="shared" si="15"/>
        <v>0</v>
      </c>
      <c r="L59" s="171">
        <f t="shared" si="21"/>
        <v>1.6286644634740206</v>
      </c>
      <c r="M59" s="60"/>
    </row>
    <row r="60" spans="1:13" x14ac:dyDescent="0.2">
      <c r="A60" s="60"/>
      <c r="B60" s="12"/>
      <c r="C60" s="237"/>
      <c r="D60" s="74" t="s">
        <v>116</v>
      </c>
      <c r="E60" s="65">
        <v>13</v>
      </c>
      <c r="F60" s="158">
        <v>2</v>
      </c>
      <c r="G60" s="159">
        <f>($C$58+E60+E60+4)*PI()+($C$58+E60+E60+8)*PI()</f>
        <v>370.07961459287765</v>
      </c>
      <c r="H60" s="72">
        <f t="shared" si="22"/>
        <v>27.021212749048445</v>
      </c>
      <c r="I60" s="211">
        <v>49</v>
      </c>
      <c r="J60" s="171">
        <f t="shared" si="20"/>
        <v>1.8133901115051003</v>
      </c>
      <c r="K60" s="66">
        <f t="shared" si="15"/>
        <v>0</v>
      </c>
      <c r="L60" s="171">
        <f t="shared" si="21"/>
        <v>1.8133901115051003</v>
      </c>
      <c r="M60" s="60"/>
    </row>
    <row r="61" spans="1:13" x14ac:dyDescent="0.2">
      <c r="A61" s="60"/>
      <c r="B61" s="12"/>
      <c r="C61" s="237"/>
      <c r="D61" s="74" t="s">
        <v>116</v>
      </c>
      <c r="E61" s="65">
        <v>16</v>
      </c>
      <c r="F61" s="158">
        <v>2</v>
      </c>
      <c r="G61" s="159">
        <f>($C$58+E61+E61+4)*PI()+($C$58+E61+E61+8)*PI()</f>
        <v>407.77872643595515</v>
      </c>
      <c r="H61" s="72">
        <f t="shared" si="22"/>
        <v>24.523103712156448</v>
      </c>
      <c r="I61" s="211">
        <v>49</v>
      </c>
      <c r="J61" s="171">
        <f t="shared" si="20"/>
        <v>1.99811575953618</v>
      </c>
      <c r="K61" s="66">
        <f t="shared" si="15"/>
        <v>0</v>
      </c>
      <c r="L61" s="171">
        <f t="shared" si="21"/>
        <v>1.99811575953618</v>
      </c>
      <c r="M61" s="60"/>
    </row>
    <row r="62" spans="1:13" x14ac:dyDescent="0.2">
      <c r="A62" s="60"/>
      <c r="B62" s="12"/>
      <c r="C62" s="237"/>
      <c r="D62" s="74" t="s">
        <v>116</v>
      </c>
      <c r="E62" s="65">
        <v>19</v>
      </c>
      <c r="F62" s="158">
        <v>2</v>
      </c>
      <c r="G62" s="159">
        <f>($C$58+E62+E62+4)*PI()+($C$58+E62+E62+8)*PI()</f>
        <v>445.47783827903271</v>
      </c>
      <c r="H62" s="72">
        <f t="shared" si="22"/>
        <v>22.447805795753926</v>
      </c>
      <c r="I62" s="211">
        <v>49</v>
      </c>
      <c r="J62" s="171">
        <f t="shared" si="20"/>
        <v>2.1828414075672602</v>
      </c>
      <c r="K62" s="66">
        <f t="shared" si="15"/>
        <v>0</v>
      </c>
      <c r="L62" s="171">
        <f t="shared" si="21"/>
        <v>2.1828414075672602</v>
      </c>
      <c r="M62" s="60"/>
    </row>
    <row r="63" spans="1:13" x14ac:dyDescent="0.2">
      <c r="A63" s="60"/>
      <c r="B63" s="12"/>
      <c r="C63" s="237"/>
      <c r="D63" s="74" t="s">
        <v>116</v>
      </c>
      <c r="E63" s="65">
        <v>25</v>
      </c>
      <c r="F63" s="158">
        <v>3</v>
      </c>
      <c r="G63" s="159">
        <f>($C$58+E63+E63+4)*PI()+($C$58+E63+E63+8)*PI()+($C$58+E63+E63+12)*PI()</f>
        <v>800.16364886932047</v>
      </c>
      <c r="H63" s="72">
        <f t="shared" si="22"/>
        <v>12.497443509375367</v>
      </c>
      <c r="I63" s="211">
        <v>49</v>
      </c>
      <c r="J63" s="171">
        <f t="shared" si="20"/>
        <v>3.9208018794596704</v>
      </c>
      <c r="K63" s="66">
        <f t="shared" si="15"/>
        <v>0</v>
      </c>
      <c r="L63" s="171">
        <f t="shared" si="21"/>
        <v>3.9208018794596704</v>
      </c>
      <c r="M63" s="60"/>
    </row>
    <row r="64" spans="1:13" x14ac:dyDescent="0.2">
      <c r="A64" s="60"/>
      <c r="B64" s="12"/>
      <c r="C64" s="237"/>
      <c r="D64" s="74" t="s">
        <v>116</v>
      </c>
      <c r="E64" s="65">
        <v>32</v>
      </c>
      <c r="F64" s="158">
        <v>3</v>
      </c>
      <c r="G64" s="159">
        <f>($C$58+E64+E64+4)*PI()+($C$58+E64+E64+8)*PI()+($C$58+E64+E64+12)*PI()</f>
        <v>932.11054032009156</v>
      </c>
      <c r="H64" s="72">
        <f t="shared" si="22"/>
        <v>10.728341293690283</v>
      </c>
      <c r="I64" s="211">
        <v>49</v>
      </c>
      <c r="J64" s="171">
        <f t="shared" si="20"/>
        <v>4.5673416475684485</v>
      </c>
      <c r="K64" s="66">
        <f t="shared" si="15"/>
        <v>0</v>
      </c>
      <c r="L64" s="171">
        <f t="shared" si="21"/>
        <v>4.5673416475684485</v>
      </c>
      <c r="M64" s="60"/>
    </row>
    <row r="65" spans="1:13" x14ac:dyDescent="0.2">
      <c r="A65" s="60"/>
      <c r="B65" s="12"/>
      <c r="C65" s="237"/>
      <c r="D65" s="74" t="s">
        <v>116</v>
      </c>
      <c r="E65" s="65">
        <v>40</v>
      </c>
      <c r="F65" s="158">
        <v>4</v>
      </c>
      <c r="G65" s="159">
        <f>($C$58+E65+E65+4)*PI()+($C$58+E65+E65+8)*PI()+($C$58+E65+E65+12)*PI()+($C$58+E65+E65+16)*PI()</f>
        <v>1469.0087248185873</v>
      </c>
      <c r="H65" s="72">
        <f t="shared" si="22"/>
        <v>6.8073115094908188</v>
      </c>
      <c r="I65" s="211">
        <v>49</v>
      </c>
      <c r="J65" s="171">
        <f t="shared" si="20"/>
        <v>7.1981427516110772</v>
      </c>
      <c r="K65" s="66">
        <f t="shared" si="15"/>
        <v>0</v>
      </c>
      <c r="L65" s="171">
        <f t="shared" si="21"/>
        <v>7.1981427516110772</v>
      </c>
      <c r="M65" s="60"/>
    </row>
    <row r="66" spans="1:13" x14ac:dyDescent="0.2">
      <c r="A66" s="60"/>
      <c r="B66" s="12"/>
      <c r="C66" s="237"/>
      <c r="D66" s="74" t="s">
        <v>116</v>
      </c>
      <c r="E66" s="65">
        <v>50</v>
      </c>
      <c r="F66" s="158">
        <v>4</v>
      </c>
      <c r="G66" s="159">
        <f>($C$58+E66+E66+4)*PI()+($C$58+E66+E66+8)*PI()+($C$58+E66+E66+12)*PI()+($C$58+E66+E66+16)*PI()</f>
        <v>1720.3361371057706</v>
      </c>
      <c r="H66" s="72">
        <f t="shared" si="22"/>
        <v>5.8128174978778437</v>
      </c>
      <c r="I66" s="211">
        <v>49</v>
      </c>
      <c r="J66" s="171">
        <f t="shared" si="20"/>
        <v>8.429647071818275</v>
      </c>
      <c r="K66" s="66">
        <f t="shared" si="15"/>
        <v>0</v>
      </c>
      <c r="L66" s="171">
        <f t="shared" si="21"/>
        <v>8.429647071818275</v>
      </c>
      <c r="M66" s="60"/>
    </row>
    <row r="67" spans="1:13" x14ac:dyDescent="0.2">
      <c r="A67" s="60"/>
      <c r="B67" s="12"/>
      <c r="C67" s="237">
        <v>33.700000000000003</v>
      </c>
      <c r="D67" s="74" t="s">
        <v>116</v>
      </c>
      <c r="E67" s="65">
        <v>9</v>
      </c>
      <c r="F67" s="158">
        <v>1</v>
      </c>
      <c r="G67" s="159">
        <f>($C$67+E67+E67+4)*PI()</f>
        <v>174.98671080495149</v>
      </c>
      <c r="H67" s="72">
        <f t="shared" si="14"/>
        <v>57.147196801398685</v>
      </c>
      <c r="I67" s="211">
        <v>49</v>
      </c>
      <c r="J67" s="171">
        <f t="shared" ref="J67:J75" si="23">I67/H67</f>
        <v>0.85743488294426229</v>
      </c>
      <c r="K67" s="66">
        <f t="shared" si="15"/>
        <v>0</v>
      </c>
      <c r="L67" s="171">
        <f t="shared" ref="L67:L75" si="24">J67*(1-K67)</f>
        <v>0.85743488294426229</v>
      </c>
      <c r="M67" s="60"/>
    </row>
    <row r="68" spans="1:13" x14ac:dyDescent="0.2">
      <c r="A68" s="60"/>
      <c r="B68" s="12"/>
      <c r="C68" s="237"/>
      <c r="D68" s="74" t="s">
        <v>116</v>
      </c>
      <c r="E68" s="65">
        <v>10</v>
      </c>
      <c r="F68" s="158">
        <v>2</v>
      </c>
      <c r="G68" s="159">
        <f>($C$67+E68+E68+4)*PI()+($C$67+E68+E68+8)*PI()</f>
        <v>375.10616283862134</v>
      </c>
      <c r="H68" s="72">
        <f t="shared" si="14"/>
        <v>26.659119445878613</v>
      </c>
      <c r="I68" s="211">
        <v>49</v>
      </c>
      <c r="J68" s="171">
        <f t="shared" si="23"/>
        <v>1.8380201979092445</v>
      </c>
      <c r="K68" s="66">
        <f t="shared" si="15"/>
        <v>0</v>
      </c>
      <c r="L68" s="171">
        <f t="shared" si="24"/>
        <v>1.8380201979092445</v>
      </c>
      <c r="M68" s="60"/>
    </row>
    <row r="69" spans="1:13" x14ac:dyDescent="0.2">
      <c r="A69" s="60"/>
      <c r="B69" s="12"/>
      <c r="C69" s="237"/>
      <c r="D69" s="74" t="s">
        <v>116</v>
      </c>
      <c r="E69" s="65">
        <v>13</v>
      </c>
      <c r="F69" s="158">
        <v>2</v>
      </c>
      <c r="G69" s="159">
        <f>($C$67+E69+E69+4)*PI()+($C$67+E69+E69+8)*PI()</f>
        <v>412.80527468169885</v>
      </c>
      <c r="H69" s="72">
        <f t="shared" si="14"/>
        <v>24.22449666543308</v>
      </c>
      <c r="I69" s="211">
        <v>49</v>
      </c>
      <c r="J69" s="171">
        <f t="shared" si="23"/>
        <v>2.0227458459403245</v>
      </c>
      <c r="K69" s="66">
        <f t="shared" si="15"/>
        <v>0</v>
      </c>
      <c r="L69" s="171">
        <f t="shared" si="24"/>
        <v>2.0227458459403245</v>
      </c>
      <c r="M69" s="60"/>
    </row>
    <row r="70" spans="1:13" x14ac:dyDescent="0.2">
      <c r="A70" s="60"/>
      <c r="B70" s="12"/>
      <c r="C70" s="237"/>
      <c r="D70" s="74" t="s">
        <v>116</v>
      </c>
      <c r="E70" s="65">
        <v>16</v>
      </c>
      <c r="F70" s="158">
        <v>2</v>
      </c>
      <c r="G70" s="159">
        <f>($C$67+E70+E70+4)*PI()+($C$67+E70+E70+8)*PI()</f>
        <v>450.50438652477635</v>
      </c>
      <c r="H70" s="72">
        <f t="shared" si="14"/>
        <v>22.197342132760856</v>
      </c>
      <c r="I70" s="211">
        <v>49</v>
      </c>
      <c r="J70" s="171">
        <f t="shared" si="23"/>
        <v>2.2074714939714042</v>
      </c>
      <c r="K70" s="66">
        <f t="shared" si="15"/>
        <v>0</v>
      </c>
      <c r="L70" s="171">
        <f t="shared" si="24"/>
        <v>2.2074714939714042</v>
      </c>
      <c r="M70" s="60"/>
    </row>
    <row r="71" spans="1:13" x14ac:dyDescent="0.2">
      <c r="A71" s="60"/>
      <c r="B71" s="12"/>
      <c r="C71" s="237"/>
      <c r="D71" s="74" t="s">
        <v>116</v>
      </c>
      <c r="E71" s="65">
        <v>19</v>
      </c>
      <c r="F71" s="158">
        <v>2</v>
      </c>
      <c r="G71" s="159">
        <f>($C$67+E71+E71+4)*PI()+($C$67+E71+E71+8)*PI()</f>
        <v>488.20349836785385</v>
      </c>
      <c r="H71" s="72">
        <f t="shared" si="14"/>
        <v>20.483261659188589</v>
      </c>
      <c r="I71" s="211">
        <v>49</v>
      </c>
      <c r="J71" s="171">
        <f t="shared" si="23"/>
        <v>2.3921971420024839</v>
      </c>
      <c r="K71" s="66">
        <f t="shared" si="15"/>
        <v>0</v>
      </c>
      <c r="L71" s="171">
        <f t="shared" si="24"/>
        <v>2.3921971420024839</v>
      </c>
      <c r="M71" s="60"/>
    </row>
    <row r="72" spans="1:13" x14ac:dyDescent="0.2">
      <c r="A72" s="60"/>
      <c r="B72" s="12"/>
      <c r="C72" s="237"/>
      <c r="D72" s="74" t="s">
        <v>116</v>
      </c>
      <c r="E72" s="65">
        <v>25</v>
      </c>
      <c r="F72" s="158">
        <v>3</v>
      </c>
      <c r="G72" s="159">
        <f>($C$67+E72+E72+4)*PI()+($C$67+E72+E72+8)*PI()+($C$67+E72+E72+12)*PI()</f>
        <v>864.2521390025521</v>
      </c>
      <c r="H72" s="72">
        <f t="shared" si="14"/>
        <v>11.570697425801187</v>
      </c>
      <c r="I72" s="211">
        <v>49</v>
      </c>
      <c r="J72" s="171">
        <f t="shared" si="23"/>
        <v>4.2348354811125057</v>
      </c>
      <c r="K72" s="66">
        <f t="shared" si="15"/>
        <v>0</v>
      </c>
      <c r="L72" s="171">
        <f t="shared" si="24"/>
        <v>4.2348354811125057</v>
      </c>
      <c r="M72" s="60"/>
    </row>
    <row r="73" spans="1:13" x14ac:dyDescent="0.2">
      <c r="A73" s="60"/>
      <c r="B73" s="12"/>
      <c r="C73" s="237"/>
      <c r="D73" s="74" t="s">
        <v>116</v>
      </c>
      <c r="E73" s="65">
        <v>32</v>
      </c>
      <c r="F73" s="158">
        <v>3</v>
      </c>
      <c r="G73" s="159">
        <f>($C$67+E73+E73+4)*PI()+($C$67+E73+E73+8)*PI()+($C$67+E73+E73+12)*PI()</f>
        <v>996.19903045332342</v>
      </c>
      <c r="H73" s="72">
        <f t="shared" si="14"/>
        <v>10.038154720397056</v>
      </c>
      <c r="I73" s="211">
        <v>49</v>
      </c>
      <c r="J73" s="171">
        <f t="shared" si="23"/>
        <v>4.8813752492212847</v>
      </c>
      <c r="K73" s="66">
        <f t="shared" si="15"/>
        <v>0</v>
      </c>
      <c r="L73" s="171">
        <f t="shared" si="24"/>
        <v>4.8813752492212847</v>
      </c>
      <c r="M73" s="60"/>
    </row>
    <row r="74" spans="1:13" x14ac:dyDescent="0.2">
      <c r="A74" s="60"/>
      <c r="B74" s="12"/>
      <c r="C74" s="237"/>
      <c r="D74" s="74" t="s">
        <v>116</v>
      </c>
      <c r="E74" s="65">
        <v>40</v>
      </c>
      <c r="F74" s="158">
        <v>4</v>
      </c>
      <c r="G74" s="159">
        <f>($C$67+E74+E74+4)*PI()+($C$67+E74+E74+8)*PI()+($C$67+E74+E74+12)*PI()+($C$67+E74+E74+16)*PI()</f>
        <v>1554.4600449962297</v>
      </c>
      <c r="H74" s="72">
        <f t="shared" si="14"/>
        <v>6.4331019843126649</v>
      </c>
      <c r="I74" s="211">
        <v>49</v>
      </c>
      <c r="J74" s="171">
        <f t="shared" si="23"/>
        <v>7.6168542204815255</v>
      </c>
      <c r="K74" s="66">
        <f t="shared" si="15"/>
        <v>0</v>
      </c>
      <c r="L74" s="171">
        <f t="shared" si="24"/>
        <v>7.6168542204815255</v>
      </c>
      <c r="M74" s="60"/>
    </row>
    <row r="75" spans="1:13" x14ac:dyDescent="0.2">
      <c r="A75" s="60"/>
      <c r="B75" s="12"/>
      <c r="C75" s="237"/>
      <c r="D75" s="74" t="s">
        <v>116</v>
      </c>
      <c r="E75" s="65">
        <v>50</v>
      </c>
      <c r="F75" s="158">
        <v>4</v>
      </c>
      <c r="G75" s="159">
        <f>($C$67+E75+E75+4)*PI()+($C$67+E75+E75+8)*PI()+($C$67+E75+E75+12)*PI()+($C$67+E75+E75+16)*PI()</f>
        <v>1805.787457283413</v>
      </c>
      <c r="H75" s="72">
        <f t="shared" si="14"/>
        <v>5.5377502815551614</v>
      </c>
      <c r="I75" s="211">
        <v>49</v>
      </c>
      <c r="J75" s="171">
        <f t="shared" si="23"/>
        <v>8.8483585406887251</v>
      </c>
      <c r="K75" s="66">
        <f t="shared" si="15"/>
        <v>0</v>
      </c>
      <c r="L75" s="171">
        <f t="shared" si="24"/>
        <v>8.8483585406887251</v>
      </c>
      <c r="M75" s="60"/>
    </row>
    <row r="76" spans="1:13" x14ac:dyDescent="0.2">
      <c r="A76" s="60"/>
      <c r="B76" s="12"/>
      <c r="C76" s="237">
        <v>42.4</v>
      </c>
      <c r="D76" s="74" t="s">
        <v>116</v>
      </c>
      <c r="E76" s="65">
        <v>9</v>
      </c>
      <c r="F76" s="158">
        <v>1</v>
      </c>
      <c r="G76" s="159">
        <f>($C$76+E76+E76+4)*PI()</f>
        <v>202.31856689118268</v>
      </c>
      <c r="H76" s="72">
        <f t="shared" ref="H76:H84" si="25">10000/G76</f>
        <v>49.427000960215942</v>
      </c>
      <c r="I76" s="211">
        <v>49</v>
      </c>
      <c r="J76" s="171">
        <f t="shared" si="20"/>
        <v>0.99136097776679521</v>
      </c>
      <c r="K76" s="66">
        <f t="shared" si="15"/>
        <v>0</v>
      </c>
      <c r="L76" s="171">
        <f t="shared" si="21"/>
        <v>0.99136097776679521</v>
      </c>
      <c r="M76" s="60"/>
    </row>
    <row r="77" spans="1:13" x14ac:dyDescent="0.2">
      <c r="A77" s="60"/>
      <c r="B77" s="12"/>
      <c r="C77" s="237"/>
      <c r="D77" s="74" t="s">
        <v>116</v>
      </c>
      <c r="E77" s="65">
        <v>10</v>
      </c>
      <c r="F77" s="158">
        <v>2</v>
      </c>
      <c r="G77" s="159">
        <f>($C$76+E77+E77+4)*PI()+($C$76+E77+E77+8)*PI()</f>
        <v>429.76987501108374</v>
      </c>
      <c r="H77" s="72">
        <f t="shared" si="25"/>
        <v>23.268266533902825</v>
      </c>
      <c r="I77" s="211">
        <v>49</v>
      </c>
      <c r="J77" s="171">
        <f t="shared" si="20"/>
        <v>2.1058723875543106</v>
      </c>
      <c r="K77" s="66">
        <f t="shared" si="15"/>
        <v>0</v>
      </c>
      <c r="L77" s="171">
        <f t="shared" si="21"/>
        <v>2.1058723875543106</v>
      </c>
      <c r="M77" s="60"/>
    </row>
    <row r="78" spans="1:13" x14ac:dyDescent="0.2">
      <c r="A78" s="60"/>
      <c r="B78" s="12"/>
      <c r="C78" s="237"/>
      <c r="D78" s="74" t="s">
        <v>116</v>
      </c>
      <c r="E78" s="65">
        <v>13</v>
      </c>
      <c r="F78" s="158">
        <v>2</v>
      </c>
      <c r="G78" s="159">
        <f>($C$76+E78+E78+4)*PI()+($C$76+E78+E78+8)*PI()</f>
        <v>467.46898685416124</v>
      </c>
      <c r="H78" s="72">
        <f t="shared" si="25"/>
        <v>21.391793426330018</v>
      </c>
      <c r="I78" s="211">
        <v>49</v>
      </c>
      <c r="J78" s="171">
        <f t="shared" si="20"/>
        <v>2.2905980355853899</v>
      </c>
      <c r="K78" s="66">
        <f t="shared" si="15"/>
        <v>0</v>
      </c>
      <c r="L78" s="171">
        <f t="shared" si="21"/>
        <v>2.2905980355853899</v>
      </c>
      <c r="M78" s="60"/>
    </row>
    <row r="79" spans="1:13" x14ac:dyDescent="0.2">
      <c r="A79" s="60"/>
      <c r="B79" s="12"/>
      <c r="C79" s="237"/>
      <c r="D79" s="74" t="s">
        <v>116</v>
      </c>
      <c r="E79" s="65">
        <v>16</v>
      </c>
      <c r="F79" s="158">
        <v>2</v>
      </c>
      <c r="G79" s="159">
        <f>($C$76+E79+E79+4)*PI()+($C$76+E79+E79+8)*PI()</f>
        <v>505.1680986972388</v>
      </c>
      <c r="H79" s="72">
        <f t="shared" si="25"/>
        <v>19.795390931827775</v>
      </c>
      <c r="I79" s="211">
        <v>49</v>
      </c>
      <c r="J79" s="171">
        <f t="shared" si="20"/>
        <v>2.47532368361647</v>
      </c>
      <c r="K79" s="66">
        <f t="shared" si="15"/>
        <v>0</v>
      </c>
      <c r="L79" s="171">
        <f t="shared" si="21"/>
        <v>2.47532368361647</v>
      </c>
      <c r="M79" s="60"/>
    </row>
    <row r="80" spans="1:13" x14ac:dyDescent="0.2">
      <c r="A80" s="60"/>
      <c r="B80" s="12"/>
      <c r="C80" s="237"/>
      <c r="D80" s="74" t="s">
        <v>116</v>
      </c>
      <c r="E80" s="65">
        <v>19</v>
      </c>
      <c r="F80" s="158">
        <v>2</v>
      </c>
      <c r="G80" s="159">
        <f>($C$76+E80+E80+4)*PI()+($C$76+E80+E80+8)*PI()</f>
        <v>542.86721054031636</v>
      </c>
      <c r="H80" s="72">
        <f t="shared" si="25"/>
        <v>18.420711006006403</v>
      </c>
      <c r="I80" s="211">
        <v>49</v>
      </c>
      <c r="J80" s="171">
        <f t="shared" si="20"/>
        <v>2.6600493316475498</v>
      </c>
      <c r="K80" s="66">
        <f t="shared" si="15"/>
        <v>0</v>
      </c>
      <c r="L80" s="171">
        <f t="shared" si="21"/>
        <v>2.6600493316475498</v>
      </c>
      <c r="M80" s="60"/>
    </row>
    <row r="81" spans="1:13" x14ac:dyDescent="0.2">
      <c r="A81" s="60"/>
      <c r="B81" s="12"/>
      <c r="C81" s="237"/>
      <c r="D81" s="74" t="s">
        <v>116</v>
      </c>
      <c r="E81" s="65">
        <v>25</v>
      </c>
      <c r="F81" s="158">
        <v>3</v>
      </c>
      <c r="G81" s="159">
        <f>($C$76+E81+E81+4)*PI()+($C$76+E81+E81+8)*PI()+($C$76+E81+E81+12)*PI()</f>
        <v>946.24770726124575</v>
      </c>
      <c r="H81" s="72">
        <f t="shared" si="25"/>
        <v>10.568057310218814</v>
      </c>
      <c r="I81" s="211">
        <v>49</v>
      </c>
      <c r="J81" s="171">
        <f t="shared" si="20"/>
        <v>4.6366137655801039</v>
      </c>
      <c r="K81" s="66">
        <f t="shared" si="15"/>
        <v>0</v>
      </c>
      <c r="L81" s="171">
        <f t="shared" si="21"/>
        <v>4.6366137655801039</v>
      </c>
      <c r="M81" s="60"/>
    </row>
    <row r="82" spans="1:13" x14ac:dyDescent="0.2">
      <c r="A82" s="60"/>
      <c r="B82" s="12"/>
      <c r="C82" s="237"/>
      <c r="D82" s="74" t="s">
        <v>116</v>
      </c>
      <c r="E82" s="65">
        <v>32</v>
      </c>
      <c r="F82" s="158">
        <v>3</v>
      </c>
      <c r="G82" s="159">
        <f>($C$76+E82+E82+4)*PI()+($C$76+E82+E82+8)*PI()+($C$76+E82+E82+12)*PI()</f>
        <v>1078.1945987120171</v>
      </c>
      <c r="H82" s="72">
        <f t="shared" si="25"/>
        <v>9.274763583443784</v>
      </c>
      <c r="I82" s="211">
        <v>49</v>
      </c>
      <c r="J82" s="171">
        <f t="shared" si="20"/>
        <v>5.2831535336888837</v>
      </c>
      <c r="K82" s="66">
        <f t="shared" si="15"/>
        <v>0</v>
      </c>
      <c r="L82" s="171">
        <f t="shared" si="21"/>
        <v>5.2831535336888837</v>
      </c>
      <c r="M82" s="60"/>
    </row>
    <row r="83" spans="1:13" x14ac:dyDescent="0.2">
      <c r="A83" s="60"/>
      <c r="B83" s="12"/>
      <c r="C83" s="237"/>
      <c r="D83" s="74" t="s">
        <v>116</v>
      </c>
      <c r="E83" s="65">
        <v>40</v>
      </c>
      <c r="F83" s="158">
        <v>4</v>
      </c>
      <c r="G83" s="159">
        <f>($C$76+E83+E83+4)*PI()+($C$76+E83+E83+8)*PI()+($C$76+E83+E83+12)*PI()+($C$76+E83+E83+16)*PI()</f>
        <v>1663.7874693411545</v>
      </c>
      <c r="H83" s="72">
        <f t="shared" si="25"/>
        <v>6.0103830472770143</v>
      </c>
      <c r="I83" s="211">
        <v>49</v>
      </c>
      <c r="J83" s="171">
        <f t="shared" si="20"/>
        <v>8.1525585997716572</v>
      </c>
      <c r="K83" s="66">
        <f t="shared" si="15"/>
        <v>0</v>
      </c>
      <c r="L83" s="171">
        <f t="shared" si="21"/>
        <v>8.1525585997716572</v>
      </c>
      <c r="M83" s="60"/>
    </row>
    <row r="84" spans="1:13" x14ac:dyDescent="0.2">
      <c r="A84" s="60"/>
      <c r="B84" s="12"/>
      <c r="C84" s="237"/>
      <c r="D84" s="74" t="s">
        <v>116</v>
      </c>
      <c r="E84" s="65">
        <v>50</v>
      </c>
      <c r="F84" s="158">
        <v>4</v>
      </c>
      <c r="G84" s="159">
        <f>($C$76+E84+E84+4)*PI()+($C$76+E84+E84+8)*PI()+($C$76+E84+E84+12)*PI()+($C$76+E84+E84+16)*PI()</f>
        <v>1915.114881628338</v>
      </c>
      <c r="H84" s="72">
        <f t="shared" si="25"/>
        <v>5.2216188678443354</v>
      </c>
      <c r="I84" s="211">
        <v>49</v>
      </c>
      <c r="J84" s="171">
        <f t="shared" si="20"/>
        <v>9.3840629199788559</v>
      </c>
      <c r="K84" s="66">
        <f t="shared" si="15"/>
        <v>0</v>
      </c>
      <c r="L84" s="171">
        <f t="shared" si="21"/>
        <v>9.3840629199788559</v>
      </c>
      <c r="M84" s="60"/>
    </row>
    <row r="85" spans="1:13" x14ac:dyDescent="0.2">
      <c r="A85" s="60"/>
      <c r="B85" s="12"/>
      <c r="C85" s="237">
        <v>48.3</v>
      </c>
      <c r="D85" s="74" t="s">
        <v>116</v>
      </c>
      <c r="E85" s="65">
        <v>9</v>
      </c>
      <c r="F85" s="158">
        <v>1</v>
      </c>
      <c r="G85" s="159">
        <f>($C$85+E85+E85+4)*PI()</f>
        <v>220.85396354736244</v>
      </c>
      <c r="H85" s="72">
        <f t="shared" si="14"/>
        <v>45.278788930837941</v>
      </c>
      <c r="I85" s="211">
        <v>49</v>
      </c>
      <c r="J85" s="171">
        <f t="shared" si="12"/>
        <v>1.0821844213820759</v>
      </c>
      <c r="K85" s="66">
        <f t="shared" si="15"/>
        <v>0</v>
      </c>
      <c r="L85" s="171">
        <f t="shared" si="13"/>
        <v>1.0821844213820759</v>
      </c>
      <c r="M85" s="60"/>
    </row>
    <row r="86" spans="1:13" x14ac:dyDescent="0.2">
      <c r="A86" s="60"/>
      <c r="B86" s="12"/>
      <c r="C86" s="237"/>
      <c r="D86" s="74" t="s">
        <v>116</v>
      </c>
      <c r="E86" s="65">
        <v>10</v>
      </c>
      <c r="F86" s="158">
        <v>2</v>
      </c>
      <c r="G86" s="159">
        <f>($C$85+E86+E86+4)*PI()+($C$85+E86+E86+8)*PI()</f>
        <v>466.8406683234432</v>
      </c>
      <c r="H86" s="72">
        <f t="shared" si="14"/>
        <v>21.420584534575418</v>
      </c>
      <c r="I86" s="211">
        <v>49</v>
      </c>
      <c r="J86" s="171">
        <f t="shared" si="12"/>
        <v>2.2875192747848718</v>
      </c>
      <c r="K86" s="66">
        <f t="shared" si="15"/>
        <v>0</v>
      </c>
      <c r="L86" s="171">
        <f t="shared" si="13"/>
        <v>2.2875192747848718</v>
      </c>
      <c r="M86" s="60"/>
    </row>
    <row r="87" spans="1:13" x14ac:dyDescent="0.2">
      <c r="A87" s="60"/>
      <c r="B87" s="12"/>
      <c r="C87" s="237"/>
      <c r="D87" s="74" t="s">
        <v>116</v>
      </c>
      <c r="E87" s="65">
        <v>13</v>
      </c>
      <c r="F87" s="158">
        <v>2</v>
      </c>
      <c r="G87" s="159">
        <f>($C$85+E87+E87+4)*PI()+($C$85+E87+E87+8)*PI()</f>
        <v>504.53978016652076</v>
      </c>
      <c r="H87" s="72">
        <f t="shared" si="14"/>
        <v>19.820042726263431</v>
      </c>
      <c r="I87" s="211">
        <v>49</v>
      </c>
      <c r="J87" s="171">
        <f t="shared" si="12"/>
        <v>2.4722449228159515</v>
      </c>
      <c r="K87" s="66">
        <f t="shared" si="15"/>
        <v>0</v>
      </c>
      <c r="L87" s="171">
        <f t="shared" si="13"/>
        <v>2.4722449228159515</v>
      </c>
      <c r="M87" s="60"/>
    </row>
    <row r="88" spans="1:13" x14ac:dyDescent="0.2">
      <c r="A88" s="60"/>
      <c r="B88" s="12"/>
      <c r="C88" s="237"/>
      <c r="D88" s="74" t="s">
        <v>116</v>
      </c>
      <c r="E88" s="65">
        <v>16</v>
      </c>
      <c r="F88" s="158">
        <v>2</v>
      </c>
      <c r="G88" s="159">
        <f>($C$85+E88+E88+4)*PI()+($C$85+E88+E88+8)*PI()</f>
        <v>542.2388920095982</v>
      </c>
      <c r="H88" s="72">
        <f t="shared" si="14"/>
        <v>18.442055978203403</v>
      </c>
      <c r="I88" s="211">
        <v>49</v>
      </c>
      <c r="J88" s="171">
        <f t="shared" ref="J88" si="26">I88/H88</f>
        <v>2.6569705708470313</v>
      </c>
      <c r="K88" s="66">
        <f t="shared" si="15"/>
        <v>0</v>
      </c>
      <c r="L88" s="171">
        <f t="shared" ref="L88" si="27">J88*(1-K88)</f>
        <v>2.6569705708470313</v>
      </c>
      <c r="M88" s="60"/>
    </row>
    <row r="89" spans="1:13" x14ac:dyDescent="0.2">
      <c r="A89" s="60"/>
      <c r="B89" s="12"/>
      <c r="C89" s="237"/>
      <c r="D89" s="74" t="s">
        <v>116</v>
      </c>
      <c r="E89" s="65">
        <v>19</v>
      </c>
      <c r="F89" s="158">
        <v>2</v>
      </c>
      <c r="G89" s="159">
        <f>($C$85+E89+E89+4)*PI()+($C$85+E89+E89+8)*PI()</f>
        <v>579.93800385267582</v>
      </c>
      <c r="H89" s="72">
        <f t="shared" si="14"/>
        <v>17.243222436825064</v>
      </c>
      <c r="I89" s="211">
        <v>49</v>
      </c>
      <c r="J89" s="171">
        <f t="shared" si="12"/>
        <v>2.8416962188781114</v>
      </c>
      <c r="K89" s="66">
        <f t="shared" si="15"/>
        <v>0</v>
      </c>
      <c r="L89" s="171">
        <f t="shared" si="13"/>
        <v>2.8416962188781114</v>
      </c>
      <c r="M89" s="60"/>
    </row>
    <row r="90" spans="1:13" x14ac:dyDescent="0.2">
      <c r="A90" s="60"/>
      <c r="B90" s="12"/>
      <c r="C90" s="237"/>
      <c r="D90" s="74" t="s">
        <v>116</v>
      </c>
      <c r="E90" s="65">
        <v>25</v>
      </c>
      <c r="F90" s="158">
        <v>3</v>
      </c>
      <c r="G90" s="159">
        <f>($C$85+E90+E90+4)*PI()+($C$85+E90+E90+8)*PI()+($C$85+E90+E90+12)*PI()</f>
        <v>1001.8538972297849</v>
      </c>
      <c r="H90" s="72">
        <f t="shared" si="14"/>
        <v>9.9814953334522016</v>
      </c>
      <c r="I90" s="211">
        <v>49</v>
      </c>
      <c r="J90" s="171">
        <f t="shared" ref="J90" si="28">I90/H90</f>
        <v>4.9090840964259463</v>
      </c>
      <c r="K90" s="66">
        <f t="shared" si="15"/>
        <v>0</v>
      </c>
      <c r="L90" s="171">
        <f t="shared" ref="L90" si="29">J90*(1-K90)</f>
        <v>4.9090840964259463</v>
      </c>
      <c r="M90" s="60"/>
    </row>
    <row r="91" spans="1:13" x14ac:dyDescent="0.2">
      <c r="A91" s="60"/>
      <c r="B91" s="12"/>
      <c r="C91" s="237"/>
      <c r="D91" s="74" t="s">
        <v>116</v>
      </c>
      <c r="E91" s="65">
        <v>32</v>
      </c>
      <c r="F91" s="158">
        <v>3</v>
      </c>
      <c r="G91" s="159">
        <f>($C$85+E91+E91+4)*PI()+($C$85+E91+E91+8)*PI()+($C$85+E91+E91+12)*PI()</f>
        <v>1133.8007886805563</v>
      </c>
      <c r="H91" s="72">
        <f t="shared" si="14"/>
        <v>8.8198915539980796</v>
      </c>
      <c r="I91" s="211">
        <v>49</v>
      </c>
      <c r="J91" s="171">
        <f t="shared" si="12"/>
        <v>5.5556238645347262</v>
      </c>
      <c r="K91" s="66">
        <f t="shared" si="15"/>
        <v>0</v>
      </c>
      <c r="L91" s="171">
        <f t="shared" si="13"/>
        <v>5.5556238645347262</v>
      </c>
      <c r="M91" s="60"/>
    </row>
    <row r="92" spans="1:13" x14ac:dyDescent="0.2">
      <c r="A92" s="60"/>
      <c r="B92" s="12"/>
      <c r="C92" s="237"/>
      <c r="D92" s="74" t="s">
        <v>116</v>
      </c>
      <c r="E92" s="65">
        <v>40</v>
      </c>
      <c r="F92" s="158">
        <v>4</v>
      </c>
      <c r="G92" s="159">
        <f>($C$85+E92+E92+4)*PI()+($C$85+E92+E92+8)*PI()+($C$85+E92+E92+12)*PI()+($C$85+E92+E92+16)*PI()</f>
        <v>1737.9290559658737</v>
      </c>
      <c r="H92" s="72">
        <f t="shared" si="14"/>
        <v>5.753974804479224</v>
      </c>
      <c r="I92" s="211">
        <v>49</v>
      </c>
      <c r="J92" s="171">
        <f t="shared" ref="J92" si="30">I92/H92</f>
        <v>8.5158523742327805</v>
      </c>
      <c r="K92" s="66">
        <f t="shared" si="15"/>
        <v>0</v>
      </c>
      <c r="L92" s="171">
        <f t="shared" ref="L92" si="31">J92*(1-K92)</f>
        <v>8.5158523742327805</v>
      </c>
      <c r="M92" s="60"/>
    </row>
    <row r="93" spans="1:13" x14ac:dyDescent="0.2">
      <c r="A93" s="60"/>
      <c r="B93" s="12"/>
      <c r="C93" s="237"/>
      <c r="D93" s="74" t="s">
        <v>116</v>
      </c>
      <c r="E93" s="65">
        <v>50</v>
      </c>
      <c r="F93" s="158">
        <v>4</v>
      </c>
      <c r="G93" s="159">
        <f>($C$85+E93+E93+4)*PI()+($C$85+E93+E93+8)*PI()+($C$85+E93+E93+12)*PI()+($C$85+E93+E93+16)*PI()</f>
        <v>1989.2564682530572</v>
      </c>
      <c r="H93" s="72">
        <f t="shared" si="14"/>
        <v>5.027003887930996</v>
      </c>
      <c r="I93" s="211">
        <v>49</v>
      </c>
      <c r="J93" s="171">
        <f t="shared" si="12"/>
        <v>9.7473566944399792</v>
      </c>
      <c r="K93" s="66">
        <f t="shared" si="15"/>
        <v>0</v>
      </c>
      <c r="L93" s="171">
        <f t="shared" si="13"/>
        <v>9.7473566944399792</v>
      </c>
      <c r="M93" s="60"/>
    </row>
    <row r="94" spans="1:13" x14ac:dyDescent="0.2">
      <c r="A94" s="60"/>
      <c r="B94" s="12"/>
      <c r="C94" s="237">
        <v>60.3</v>
      </c>
      <c r="D94" s="74" t="s">
        <v>116</v>
      </c>
      <c r="E94" s="65">
        <v>9</v>
      </c>
      <c r="F94" s="158">
        <v>1</v>
      </c>
      <c r="G94" s="159">
        <f>($C$94+E94+E94+4)*PI()</f>
        <v>258.55307539043997</v>
      </c>
      <c r="H94" s="72">
        <f t="shared" si="14"/>
        <v>38.676778394142246</v>
      </c>
      <c r="I94" s="211">
        <v>49</v>
      </c>
      <c r="J94" s="171">
        <f t="shared" si="12"/>
        <v>1.2669100694131559</v>
      </c>
      <c r="K94" s="66">
        <f t="shared" si="15"/>
        <v>0</v>
      </c>
      <c r="L94" s="171">
        <f t="shared" si="13"/>
        <v>1.2669100694131559</v>
      </c>
      <c r="M94" s="60"/>
    </row>
    <row r="95" spans="1:13" x14ac:dyDescent="0.2">
      <c r="A95" s="60"/>
      <c r="B95" s="12"/>
      <c r="C95" s="237"/>
      <c r="D95" s="74" t="s">
        <v>116</v>
      </c>
      <c r="E95" s="65">
        <v>10</v>
      </c>
      <c r="F95" s="158">
        <v>2</v>
      </c>
      <c r="G95" s="159">
        <f>($C$94+E95+E95+4)*PI()+($C$94+E95+E95+8)*PI()</f>
        <v>542.2388920095982</v>
      </c>
      <c r="H95" s="72">
        <f t="shared" si="14"/>
        <v>18.442055978203403</v>
      </c>
      <c r="I95" s="211">
        <v>49</v>
      </c>
      <c r="J95" s="171">
        <f t="shared" si="12"/>
        <v>2.6569705708470313</v>
      </c>
      <c r="K95" s="66">
        <f t="shared" si="15"/>
        <v>0</v>
      </c>
      <c r="L95" s="171">
        <f t="shared" si="13"/>
        <v>2.6569705708470313</v>
      </c>
      <c r="M95" s="60"/>
    </row>
    <row r="96" spans="1:13" x14ac:dyDescent="0.2">
      <c r="A96" s="60"/>
      <c r="B96" s="12"/>
      <c r="C96" s="237"/>
      <c r="D96" s="74" t="s">
        <v>116</v>
      </c>
      <c r="E96" s="65">
        <v>13</v>
      </c>
      <c r="F96" s="158">
        <v>2</v>
      </c>
      <c r="G96" s="159">
        <f>($C$94+E96+E96+4)*PI()+($C$94+E96+E96+8)*PI()</f>
        <v>579.93800385267582</v>
      </c>
      <c r="H96" s="72">
        <f t="shared" si="14"/>
        <v>17.243222436825064</v>
      </c>
      <c r="I96" s="211">
        <v>49</v>
      </c>
      <c r="J96" s="171">
        <f t="shared" si="12"/>
        <v>2.8416962188781114</v>
      </c>
      <c r="K96" s="66">
        <f t="shared" si="15"/>
        <v>0</v>
      </c>
      <c r="L96" s="171">
        <f t="shared" si="13"/>
        <v>2.8416962188781114</v>
      </c>
      <c r="M96" s="60"/>
    </row>
    <row r="97" spans="1:13" x14ac:dyDescent="0.2">
      <c r="A97" s="60"/>
      <c r="B97" s="12"/>
      <c r="C97" s="237"/>
      <c r="D97" s="74" t="s">
        <v>116</v>
      </c>
      <c r="E97" s="65">
        <v>16</v>
      </c>
      <c r="F97" s="158">
        <v>2</v>
      </c>
      <c r="G97" s="159">
        <f>($C$94+E97+E97+4)*PI()+($C$94+E97+E97+8)*PI()</f>
        <v>617.63711569575321</v>
      </c>
      <c r="H97" s="72">
        <f t="shared" si="14"/>
        <v>16.190736835391188</v>
      </c>
      <c r="I97" s="211">
        <v>49</v>
      </c>
      <c r="J97" s="171">
        <f t="shared" ref="J97" si="32">I97/H97</f>
        <v>3.0264218669091907</v>
      </c>
      <c r="K97" s="66">
        <f t="shared" si="15"/>
        <v>0</v>
      </c>
      <c r="L97" s="171">
        <f t="shared" ref="L97" si="33">J97*(1-K97)</f>
        <v>3.0264218669091907</v>
      </c>
      <c r="M97" s="60"/>
    </row>
    <row r="98" spans="1:13" x14ac:dyDescent="0.2">
      <c r="A98" s="60"/>
      <c r="B98" s="12"/>
      <c r="C98" s="237"/>
      <c r="D98" s="74" t="s">
        <v>116</v>
      </c>
      <c r="E98" s="65">
        <v>19</v>
      </c>
      <c r="F98" s="158">
        <v>2</v>
      </c>
      <c r="G98" s="159">
        <f>($C$94+E98+E98+4)*PI()+($C$94+E98+E98+8)*PI()</f>
        <v>655.33622753883083</v>
      </c>
      <c r="H98" s="72">
        <f t="shared" si="14"/>
        <v>15.259342578321702</v>
      </c>
      <c r="I98" s="211">
        <v>49</v>
      </c>
      <c r="J98" s="171">
        <f t="shared" si="12"/>
        <v>3.2111475149402708</v>
      </c>
      <c r="K98" s="66">
        <f t="shared" si="15"/>
        <v>0</v>
      </c>
      <c r="L98" s="171">
        <f t="shared" si="13"/>
        <v>3.2111475149402708</v>
      </c>
      <c r="M98" s="60"/>
    </row>
    <row r="99" spans="1:13" x14ac:dyDescent="0.2">
      <c r="A99" s="60"/>
      <c r="B99" s="12"/>
      <c r="C99" s="237"/>
      <c r="D99" s="74" t="s">
        <v>116</v>
      </c>
      <c r="E99" s="65">
        <v>25</v>
      </c>
      <c r="F99" s="158">
        <v>3</v>
      </c>
      <c r="G99" s="159">
        <f>($C$94+E99+E99+4)*PI()+($C$94+E99+E99+8)*PI()+($C$94+E99+E99+12)*PI()</f>
        <v>1114.9512327590176</v>
      </c>
      <c r="H99" s="72">
        <f t="shared" si="14"/>
        <v>8.9690021466269574</v>
      </c>
      <c r="I99" s="211">
        <v>49</v>
      </c>
      <c r="J99" s="171">
        <f t="shared" ref="J99" si="34">I99/H99</f>
        <v>5.4632610405191855</v>
      </c>
      <c r="K99" s="66">
        <f t="shared" si="15"/>
        <v>0</v>
      </c>
      <c r="L99" s="171">
        <f t="shared" ref="L99" si="35">J99*(1-K99)</f>
        <v>5.4632610405191855</v>
      </c>
      <c r="M99" s="60"/>
    </row>
    <row r="100" spans="1:13" x14ac:dyDescent="0.2">
      <c r="A100" s="60"/>
      <c r="B100" s="12"/>
      <c r="C100" s="237"/>
      <c r="D100" s="74" t="s">
        <v>116</v>
      </c>
      <c r="E100" s="65">
        <v>32</v>
      </c>
      <c r="F100" s="158">
        <v>3</v>
      </c>
      <c r="G100" s="159">
        <f>($C$94+E100+E100+4)*PI()+($C$94+E100+E100+8)*PI()+($C$94+E100+E100+12)*PI()</f>
        <v>1246.8981242097891</v>
      </c>
      <c r="H100" s="72">
        <f t="shared" si="14"/>
        <v>8.0199013903701335</v>
      </c>
      <c r="I100" s="211">
        <v>49</v>
      </c>
      <c r="J100" s="171">
        <f t="shared" si="12"/>
        <v>6.1098008086279672</v>
      </c>
      <c r="K100" s="66">
        <f t="shared" si="15"/>
        <v>0</v>
      </c>
      <c r="L100" s="171">
        <f t="shared" si="13"/>
        <v>6.1098008086279672</v>
      </c>
      <c r="M100" s="60"/>
    </row>
    <row r="101" spans="1:13" x14ac:dyDescent="0.2">
      <c r="A101" s="60"/>
      <c r="B101" s="12"/>
      <c r="C101" s="237"/>
      <c r="D101" s="74" t="s">
        <v>116</v>
      </c>
      <c r="E101" s="65">
        <v>40</v>
      </c>
      <c r="F101" s="158">
        <v>4</v>
      </c>
      <c r="G101" s="159">
        <f>($C$94+E101+E101+4)*PI()+($C$94+E101+E101+8)*PI()+($C$94+E101+E101+12)*PI()+($C$94+E101+E101+16)*PI()</f>
        <v>1888.7255033381837</v>
      </c>
      <c r="H101" s="72">
        <f t="shared" si="14"/>
        <v>5.2945756184928587</v>
      </c>
      <c r="I101" s="211">
        <v>49</v>
      </c>
      <c r="J101" s="171">
        <f t="shared" ref="J101" si="36">I101/H101</f>
        <v>9.2547549663570994</v>
      </c>
      <c r="K101" s="66">
        <f t="shared" si="15"/>
        <v>0</v>
      </c>
      <c r="L101" s="171">
        <f t="shared" ref="L101" si="37">J101*(1-K101)</f>
        <v>9.2547549663570994</v>
      </c>
      <c r="M101" s="60"/>
    </row>
    <row r="102" spans="1:13" x14ac:dyDescent="0.2">
      <c r="A102" s="60"/>
      <c r="B102" s="12"/>
      <c r="C102" s="237"/>
      <c r="D102" s="74" t="s">
        <v>116</v>
      </c>
      <c r="E102" s="65">
        <v>50</v>
      </c>
      <c r="F102" s="158">
        <v>4</v>
      </c>
      <c r="G102" s="159">
        <f>($C$94+E102+E102+4)*PI()+($C$94+E102+E102+8)*PI()+($C$94+E102+E102+12)*PI()+($C$94+E102+E102+16)*PI()</f>
        <v>2140.0529156253674</v>
      </c>
      <c r="H102" s="72">
        <f t="shared" si="14"/>
        <v>4.6727816527274024</v>
      </c>
      <c r="I102" s="211">
        <v>49</v>
      </c>
      <c r="J102" s="171">
        <f t="shared" si="12"/>
        <v>10.4862592865643</v>
      </c>
      <c r="K102" s="66">
        <f t="shared" si="15"/>
        <v>0</v>
      </c>
      <c r="L102" s="171">
        <f t="shared" si="13"/>
        <v>10.4862592865643</v>
      </c>
      <c r="M102" s="60"/>
    </row>
    <row r="103" spans="1:13" x14ac:dyDescent="0.2">
      <c r="A103" s="60"/>
      <c r="B103" s="12"/>
      <c r="C103" s="237">
        <v>76.099999999999994</v>
      </c>
      <c r="D103" s="74" t="s">
        <v>116</v>
      </c>
      <c r="E103" s="65">
        <v>9</v>
      </c>
      <c r="F103" s="158">
        <v>1</v>
      </c>
      <c r="G103" s="159">
        <f>($C$103+E103+E103+4)*PI()</f>
        <v>308.19023931715867</v>
      </c>
      <c r="H103" s="72">
        <f t="shared" si="14"/>
        <v>32.447490946359913</v>
      </c>
      <c r="I103" s="211">
        <v>49</v>
      </c>
      <c r="J103" s="171">
        <f t="shared" si="12"/>
        <v>1.5101321726540773</v>
      </c>
      <c r="K103" s="66">
        <f t="shared" si="15"/>
        <v>0</v>
      </c>
      <c r="L103" s="171">
        <f t="shared" si="13"/>
        <v>1.5101321726540773</v>
      </c>
      <c r="M103" s="60"/>
    </row>
    <row r="104" spans="1:13" x14ac:dyDescent="0.2">
      <c r="A104" s="60"/>
      <c r="B104" s="12"/>
      <c r="C104" s="237"/>
      <c r="D104" s="74" t="s">
        <v>116</v>
      </c>
      <c r="E104" s="65">
        <v>10</v>
      </c>
      <c r="F104" s="158">
        <v>2</v>
      </c>
      <c r="G104" s="159">
        <f>($C$103+E104+E104+4)*PI()+($C$103+E104+E104+8)*PI()</f>
        <v>641.51321986303572</v>
      </c>
      <c r="H104" s="72">
        <f t="shared" si="14"/>
        <v>15.588143299891808</v>
      </c>
      <c r="I104" s="211">
        <v>49</v>
      </c>
      <c r="J104" s="171">
        <f t="shared" si="12"/>
        <v>3.143414777328875</v>
      </c>
      <c r="K104" s="66">
        <f t="shared" si="15"/>
        <v>0</v>
      </c>
      <c r="L104" s="171">
        <f t="shared" si="13"/>
        <v>3.143414777328875</v>
      </c>
      <c r="M104" s="60"/>
    </row>
    <row r="105" spans="1:13" x14ac:dyDescent="0.2">
      <c r="A105" s="60"/>
      <c r="B105" s="12"/>
      <c r="C105" s="237"/>
      <c r="D105" s="74" t="s">
        <v>116</v>
      </c>
      <c r="E105" s="65">
        <v>13</v>
      </c>
      <c r="F105" s="158">
        <v>2</v>
      </c>
      <c r="G105" s="159">
        <f>($C$103+E105+E105+4)*PI()+($C$103+E105+E105+8)*PI()</f>
        <v>679.21233170611322</v>
      </c>
      <c r="H105" s="72">
        <f t="shared" si="14"/>
        <v>14.722936456234537</v>
      </c>
      <c r="I105" s="211">
        <v>49</v>
      </c>
      <c r="J105" s="171">
        <f t="shared" ref="J105" si="38">I105/H105</f>
        <v>3.3281404253599551</v>
      </c>
      <c r="K105" s="66">
        <f t="shared" si="15"/>
        <v>0</v>
      </c>
      <c r="L105" s="171">
        <f t="shared" ref="L105" si="39">J105*(1-K105)</f>
        <v>3.3281404253599551</v>
      </c>
      <c r="M105" s="60"/>
    </row>
    <row r="106" spans="1:13" x14ac:dyDescent="0.2">
      <c r="A106" s="60"/>
      <c r="B106" s="12"/>
      <c r="C106" s="237"/>
      <c r="D106" s="74" t="s">
        <v>116</v>
      </c>
      <c r="E106" s="65">
        <v>16</v>
      </c>
      <c r="F106" s="158">
        <v>2</v>
      </c>
      <c r="G106" s="159">
        <f>($C$103+E106+E106+4)*PI()+($C$103+E106+E106+8)*PI()</f>
        <v>716.91144354919084</v>
      </c>
      <c r="H106" s="72">
        <f t="shared" si="14"/>
        <v>13.948724197361553</v>
      </c>
      <c r="I106" s="211">
        <v>49</v>
      </c>
      <c r="J106" s="171">
        <f t="shared" si="12"/>
        <v>3.5128660733910353</v>
      </c>
      <c r="K106" s="66">
        <f t="shared" si="15"/>
        <v>0</v>
      </c>
      <c r="L106" s="171">
        <f t="shared" si="13"/>
        <v>3.5128660733910353</v>
      </c>
      <c r="M106" s="60"/>
    </row>
    <row r="107" spans="1:13" x14ac:dyDescent="0.2">
      <c r="A107" s="60"/>
      <c r="B107" s="12"/>
      <c r="C107" s="237"/>
      <c r="D107" s="74" t="s">
        <v>116</v>
      </c>
      <c r="E107" s="65">
        <v>19</v>
      </c>
      <c r="F107" s="158">
        <v>2</v>
      </c>
      <c r="G107" s="159">
        <f>($C$103+E107+E107+4)*PI()+($C$103+E107+E107+8)*PI()</f>
        <v>754.61055539226822</v>
      </c>
      <c r="H107" s="72">
        <f t="shared" si="14"/>
        <v>13.251868700407607</v>
      </c>
      <c r="I107" s="211">
        <v>49</v>
      </c>
      <c r="J107" s="171">
        <f t="shared" ref="J107" si="40">I107/H107</f>
        <v>3.6975917214221141</v>
      </c>
      <c r="K107" s="66">
        <f t="shared" si="15"/>
        <v>0</v>
      </c>
      <c r="L107" s="171">
        <f t="shared" ref="L107" si="41">J107*(1-K107)</f>
        <v>3.6975917214221141</v>
      </c>
      <c r="M107" s="60"/>
    </row>
    <row r="108" spans="1:13" x14ac:dyDescent="0.2">
      <c r="A108" s="60"/>
      <c r="B108" s="12"/>
      <c r="C108" s="237"/>
      <c r="D108" s="74" t="s">
        <v>116</v>
      </c>
      <c r="E108" s="65">
        <v>25</v>
      </c>
      <c r="F108" s="158">
        <v>3</v>
      </c>
      <c r="G108" s="159">
        <f>($C$103+E108+E108+4)*PI()+($C$103+E108+E108+8)*PI()+($C$103+E108+E108+12)*PI()</f>
        <v>1263.8627245391735</v>
      </c>
      <c r="H108" s="72">
        <f t="shared" si="14"/>
        <v>7.9122517072779202</v>
      </c>
      <c r="I108" s="211">
        <v>49</v>
      </c>
      <c r="J108" s="171">
        <f t="shared" si="12"/>
        <v>6.1929273502419502</v>
      </c>
      <c r="K108" s="66">
        <f t="shared" si="15"/>
        <v>0</v>
      </c>
      <c r="L108" s="171">
        <f t="shared" si="13"/>
        <v>6.1929273502419502</v>
      </c>
      <c r="M108" s="60"/>
    </row>
    <row r="109" spans="1:13" x14ac:dyDescent="0.2">
      <c r="A109" s="60"/>
      <c r="B109" s="12"/>
      <c r="C109" s="237"/>
      <c r="D109" s="74" t="s">
        <v>116</v>
      </c>
      <c r="E109" s="65">
        <v>32</v>
      </c>
      <c r="F109" s="158">
        <v>3</v>
      </c>
      <c r="G109" s="159">
        <f>($C$103+E109+E109+4)*PI()+($C$103+E109+E109+8)*PI()+($C$103+E109+E109+12)*PI()</f>
        <v>1395.8096159899451</v>
      </c>
      <c r="H109" s="72">
        <f t="shared" si="14"/>
        <v>7.1643008369072856</v>
      </c>
      <c r="I109" s="211">
        <v>49</v>
      </c>
      <c r="J109" s="171">
        <f t="shared" ref="J109" si="42">I109/H109</f>
        <v>6.839467118350731</v>
      </c>
      <c r="K109" s="66">
        <f t="shared" ref="K109:K158" si="43">$K$49</f>
        <v>0</v>
      </c>
      <c r="L109" s="171">
        <f t="shared" ref="L109" si="44">J109*(1-K109)</f>
        <v>6.839467118350731</v>
      </c>
      <c r="M109" s="60"/>
    </row>
    <row r="110" spans="1:13" x14ac:dyDescent="0.2">
      <c r="A110" s="60"/>
      <c r="B110" s="12"/>
      <c r="C110" s="237"/>
      <c r="D110" s="74" t="s">
        <v>116</v>
      </c>
      <c r="E110" s="65">
        <v>40</v>
      </c>
      <c r="F110" s="158">
        <v>4</v>
      </c>
      <c r="G110" s="159">
        <f>($C$103+E110+E110+4)*PI()+($C$103+E110+E110+8)*PI()+($C$103+E110+E110+12)*PI()+($C$103+E110+E110+16)*PI()</f>
        <v>2087.2741590450587</v>
      </c>
      <c r="H110" s="72">
        <f t="shared" si="14"/>
        <v>4.7909374801895046</v>
      </c>
      <c r="I110" s="211">
        <v>49</v>
      </c>
      <c r="J110" s="171">
        <f t="shared" si="12"/>
        <v>10.227643379320787</v>
      </c>
      <c r="K110" s="66">
        <f t="shared" si="43"/>
        <v>0</v>
      </c>
      <c r="L110" s="171">
        <f t="shared" si="13"/>
        <v>10.227643379320787</v>
      </c>
      <c r="M110" s="60"/>
    </row>
    <row r="111" spans="1:13" x14ac:dyDescent="0.2">
      <c r="A111" s="60"/>
      <c r="B111" s="12"/>
      <c r="C111" s="237"/>
      <c r="D111" s="74" t="s">
        <v>116</v>
      </c>
      <c r="E111" s="65">
        <v>50</v>
      </c>
      <c r="F111" s="158">
        <v>4</v>
      </c>
      <c r="G111" s="159">
        <f>($C$103+E111+E111+4)*PI()+($C$103+E111+E111+8)*PI()+($C$103+E111+E111+12)*PI()+($C$103+E111+E111+16)*PI()</f>
        <v>2338.6015713322422</v>
      </c>
      <c r="H111" s="72">
        <f t="shared" si="14"/>
        <v>4.2760597284227657</v>
      </c>
      <c r="I111" s="211">
        <v>49</v>
      </c>
      <c r="J111" s="171">
        <f t="shared" ref="J111:J169" si="45">I111/H111</f>
        <v>11.459147699527986</v>
      </c>
      <c r="K111" s="66">
        <f t="shared" si="43"/>
        <v>0</v>
      </c>
      <c r="L111" s="171">
        <f t="shared" ref="L111:L169" si="46">J111*(1-K111)</f>
        <v>11.459147699527986</v>
      </c>
      <c r="M111" s="60"/>
    </row>
    <row r="112" spans="1:13" x14ac:dyDescent="0.2">
      <c r="A112" s="60"/>
      <c r="B112" s="12"/>
      <c r="C112" s="237">
        <v>88.9</v>
      </c>
      <c r="D112" s="74" t="s">
        <v>116</v>
      </c>
      <c r="E112" s="65">
        <v>9</v>
      </c>
      <c r="F112" s="158">
        <v>1</v>
      </c>
      <c r="G112" s="159">
        <f>($C$112+E112+E112+4)*PI()</f>
        <v>348.40262528310808</v>
      </c>
      <c r="H112" s="72">
        <f t="shared" si="14"/>
        <v>28.702424362830538</v>
      </c>
      <c r="I112" s="211">
        <v>49</v>
      </c>
      <c r="J112" s="171">
        <f t="shared" si="45"/>
        <v>1.7071728638872297</v>
      </c>
      <c r="K112" s="66">
        <f t="shared" si="43"/>
        <v>0</v>
      </c>
      <c r="L112" s="171">
        <f t="shared" si="46"/>
        <v>1.7071728638872297</v>
      </c>
      <c r="M112" s="60"/>
    </row>
    <row r="113" spans="1:13" x14ac:dyDescent="0.2">
      <c r="A113" s="60"/>
      <c r="B113" s="12"/>
      <c r="C113" s="237"/>
      <c r="D113" s="74" t="s">
        <v>116</v>
      </c>
      <c r="E113" s="65">
        <v>10</v>
      </c>
      <c r="F113" s="158">
        <v>2</v>
      </c>
      <c r="G113" s="159">
        <f>($C$112+E113+E113+4)*PI()+($C$112+E113+E113+8)*PI()</f>
        <v>721.93799179493453</v>
      </c>
      <c r="H113" s="72">
        <f t="shared" si="14"/>
        <v>13.851605142897766</v>
      </c>
      <c r="I113" s="211">
        <v>49</v>
      </c>
      <c r="J113" s="171">
        <f t="shared" si="45"/>
        <v>3.5374961597951793</v>
      </c>
      <c r="K113" s="66">
        <f t="shared" si="43"/>
        <v>0</v>
      </c>
      <c r="L113" s="171">
        <f t="shared" si="46"/>
        <v>3.5374961597951793</v>
      </c>
      <c r="M113" s="60"/>
    </row>
    <row r="114" spans="1:13" x14ac:dyDescent="0.2">
      <c r="A114" s="60"/>
      <c r="B114" s="12"/>
      <c r="C114" s="237"/>
      <c r="D114" s="74" t="s">
        <v>116</v>
      </c>
      <c r="E114" s="65">
        <v>13</v>
      </c>
      <c r="F114" s="158">
        <v>2</v>
      </c>
      <c r="G114" s="159">
        <f>($C$112+E114+E114+4)*PI()+($C$112+E114+E114+8)*PI()</f>
        <v>759.63710363801192</v>
      </c>
      <c r="H114" s="72">
        <f t="shared" si="14"/>
        <v>13.164180570049243</v>
      </c>
      <c r="I114" s="211">
        <v>49</v>
      </c>
      <c r="J114" s="171">
        <f t="shared" si="45"/>
        <v>3.7222218078262586</v>
      </c>
      <c r="K114" s="66">
        <f t="shared" si="43"/>
        <v>0</v>
      </c>
      <c r="L114" s="171">
        <f t="shared" si="46"/>
        <v>3.7222218078262586</v>
      </c>
      <c r="M114" s="60"/>
    </row>
    <row r="115" spans="1:13" x14ac:dyDescent="0.2">
      <c r="A115" s="60"/>
      <c r="B115" s="12"/>
      <c r="C115" s="237"/>
      <c r="D115" s="74" t="s">
        <v>116</v>
      </c>
      <c r="E115" s="65">
        <v>16</v>
      </c>
      <c r="F115" s="158">
        <v>2</v>
      </c>
      <c r="G115" s="159">
        <f>($C$112+E115+E115+4)*PI()+($C$112+E115+E115+8)*PI()</f>
        <v>797.33621548108954</v>
      </c>
      <c r="H115" s="72">
        <f t="shared" si="14"/>
        <v>12.541760684940531</v>
      </c>
      <c r="I115" s="211">
        <v>49</v>
      </c>
      <c r="J115" s="171">
        <f t="shared" si="45"/>
        <v>3.9069474558573387</v>
      </c>
      <c r="K115" s="66">
        <f t="shared" si="43"/>
        <v>0</v>
      </c>
      <c r="L115" s="171">
        <f t="shared" si="46"/>
        <v>3.9069474558573387</v>
      </c>
      <c r="M115" s="60"/>
    </row>
    <row r="116" spans="1:13" x14ac:dyDescent="0.2">
      <c r="A116" s="60"/>
      <c r="B116" s="12"/>
      <c r="C116" s="237"/>
      <c r="D116" s="74" t="s">
        <v>116</v>
      </c>
      <c r="E116" s="65">
        <v>19</v>
      </c>
      <c r="F116" s="158">
        <v>2</v>
      </c>
      <c r="G116" s="159">
        <f>($C$112+E116+E116+4)*PI()+($C$112+E116+E116+8)*PI()</f>
        <v>835.03532732416704</v>
      </c>
      <c r="H116" s="72">
        <f t="shared" si="14"/>
        <v>11.975541240925157</v>
      </c>
      <c r="I116" s="211">
        <v>49</v>
      </c>
      <c r="J116" s="171">
        <f t="shared" si="45"/>
        <v>4.0916731038884189</v>
      </c>
      <c r="K116" s="66">
        <f t="shared" si="43"/>
        <v>0</v>
      </c>
      <c r="L116" s="171">
        <f t="shared" si="46"/>
        <v>4.0916731038884189</v>
      </c>
      <c r="M116" s="60"/>
    </row>
    <row r="117" spans="1:13" x14ac:dyDescent="0.2">
      <c r="A117" s="60"/>
      <c r="B117" s="12"/>
      <c r="C117" s="237"/>
      <c r="D117" s="74" t="s">
        <v>116</v>
      </c>
      <c r="E117" s="65">
        <v>25</v>
      </c>
      <c r="F117" s="158">
        <v>3</v>
      </c>
      <c r="G117" s="159">
        <f>($C$112+E117+E117+4)*PI()+($C$112+E117+E117+8)*PI()+($C$112+E117+E117+12)*PI()</f>
        <v>1384.4998824370218</v>
      </c>
      <c r="H117" s="72">
        <f t="shared" si="14"/>
        <v>7.2228247375491419</v>
      </c>
      <c r="I117" s="211">
        <v>49</v>
      </c>
      <c r="J117" s="171">
        <f t="shared" si="45"/>
        <v>6.7840494239414069</v>
      </c>
      <c r="K117" s="66">
        <f t="shared" si="43"/>
        <v>0</v>
      </c>
      <c r="L117" s="171">
        <f t="shared" si="46"/>
        <v>6.7840494239414069</v>
      </c>
      <c r="M117" s="60"/>
    </row>
    <row r="118" spans="1:13" x14ac:dyDescent="0.2">
      <c r="A118" s="60"/>
      <c r="B118" s="12"/>
      <c r="C118" s="237"/>
      <c r="D118" s="74" t="s">
        <v>116</v>
      </c>
      <c r="E118" s="65">
        <v>32</v>
      </c>
      <c r="F118" s="158">
        <v>3</v>
      </c>
      <c r="G118" s="159">
        <f>($C$112+E118+E118+4)*PI()+($C$112+E118+E118+8)*PI()+($C$112+E118+E118+12)*PI()</f>
        <v>1516.4467738877934</v>
      </c>
      <c r="H118" s="72">
        <f t="shared" si="14"/>
        <v>6.5943626721315649</v>
      </c>
      <c r="I118" s="211">
        <v>49</v>
      </c>
      <c r="J118" s="171">
        <f t="shared" si="45"/>
        <v>7.4305891920501876</v>
      </c>
      <c r="K118" s="66">
        <f t="shared" si="43"/>
        <v>0</v>
      </c>
      <c r="L118" s="171">
        <f t="shared" si="46"/>
        <v>7.4305891920501876</v>
      </c>
      <c r="M118" s="60"/>
    </row>
    <row r="119" spans="1:13" x14ac:dyDescent="0.2">
      <c r="A119" s="60"/>
      <c r="B119" s="12"/>
      <c r="C119" s="237"/>
      <c r="D119" s="74" t="s">
        <v>116</v>
      </c>
      <c r="E119" s="65">
        <v>40</v>
      </c>
      <c r="F119" s="158">
        <v>4</v>
      </c>
      <c r="G119" s="159">
        <f>($C$112+E119+E119+4)*PI()+($C$112+E119+E119+8)*PI()+($C$112+E119+E119+12)*PI()+($C$112+E119+E119+16)*PI()</f>
        <v>2248.1237029088561</v>
      </c>
      <c r="H119" s="72">
        <f t="shared" si="14"/>
        <v>4.4481538035744919</v>
      </c>
      <c r="I119" s="211">
        <v>49</v>
      </c>
      <c r="J119" s="171">
        <f t="shared" si="45"/>
        <v>11.015806144253396</v>
      </c>
      <c r="K119" s="66">
        <f t="shared" si="43"/>
        <v>0</v>
      </c>
      <c r="L119" s="171">
        <f t="shared" si="46"/>
        <v>11.015806144253396</v>
      </c>
      <c r="M119" s="60"/>
    </row>
    <row r="120" spans="1:13" x14ac:dyDescent="0.2">
      <c r="A120" s="60"/>
      <c r="B120" s="12"/>
      <c r="C120" s="237"/>
      <c r="D120" s="74" t="s">
        <v>116</v>
      </c>
      <c r="E120" s="65">
        <v>50</v>
      </c>
      <c r="F120" s="158">
        <v>4</v>
      </c>
      <c r="G120" s="159">
        <f>($C$112+E120+E120+4)*PI()+($C$112+E120+E120+8)*PI()+($C$112+E120+E120+12)*PI()+($C$112+E120+E120+16)*PI()</f>
        <v>2499.4511151960396</v>
      </c>
      <c r="H120" s="72">
        <f t="shared" si="14"/>
        <v>4.0008784085443772</v>
      </c>
      <c r="I120" s="211">
        <v>49</v>
      </c>
      <c r="J120" s="171">
        <f t="shared" si="45"/>
        <v>12.247310464460595</v>
      </c>
      <c r="K120" s="66">
        <f t="shared" si="43"/>
        <v>0</v>
      </c>
      <c r="L120" s="171">
        <f t="shared" si="46"/>
        <v>12.247310464460595</v>
      </c>
      <c r="M120" s="60"/>
    </row>
    <row r="121" spans="1:13" x14ac:dyDescent="0.2">
      <c r="A121" s="60"/>
      <c r="B121" s="12"/>
      <c r="C121" s="237">
        <v>108</v>
      </c>
      <c r="D121" s="74" t="s">
        <v>116</v>
      </c>
      <c r="E121" s="65">
        <v>9</v>
      </c>
      <c r="F121" s="158">
        <v>1</v>
      </c>
      <c r="G121" s="159">
        <f>($C$121+E121+E121+4)*PI()</f>
        <v>408.40704496667308</v>
      </c>
      <c r="H121" s="72">
        <f t="shared" ref="H121:H129" si="47">10000/G121</f>
        <v>24.485375860291594</v>
      </c>
      <c r="I121" s="211">
        <v>49</v>
      </c>
      <c r="J121" s="171">
        <f t="shared" si="45"/>
        <v>2.0011945203366981</v>
      </c>
      <c r="K121" s="66">
        <f t="shared" si="43"/>
        <v>0</v>
      </c>
      <c r="L121" s="171">
        <f t="shared" si="46"/>
        <v>2.0011945203366981</v>
      </c>
      <c r="M121" s="60"/>
    </row>
    <row r="122" spans="1:13" x14ac:dyDescent="0.2">
      <c r="A122" s="60"/>
      <c r="B122" s="12"/>
      <c r="C122" s="237"/>
      <c r="D122" s="74" t="s">
        <v>116</v>
      </c>
      <c r="E122" s="65">
        <v>10</v>
      </c>
      <c r="F122" s="158">
        <v>2</v>
      </c>
      <c r="G122" s="159">
        <f>($C$121+E122+E122+4)*PI()+($C$121+E122+E122+8)*PI()</f>
        <v>841.94683116206465</v>
      </c>
      <c r="H122" s="72">
        <f t="shared" si="47"/>
        <v>11.877234559096665</v>
      </c>
      <c r="I122" s="211">
        <v>49</v>
      </c>
      <c r="J122" s="171">
        <f t="shared" si="45"/>
        <v>4.1255394726941166</v>
      </c>
      <c r="K122" s="66">
        <f t="shared" si="43"/>
        <v>0</v>
      </c>
      <c r="L122" s="171">
        <f t="shared" si="46"/>
        <v>4.1255394726941166</v>
      </c>
      <c r="M122" s="60"/>
    </row>
    <row r="123" spans="1:13" x14ac:dyDescent="0.2">
      <c r="A123" s="60"/>
      <c r="B123" s="12"/>
      <c r="C123" s="237"/>
      <c r="D123" s="74" t="s">
        <v>116</v>
      </c>
      <c r="E123" s="65">
        <v>13</v>
      </c>
      <c r="F123" s="158">
        <v>2</v>
      </c>
      <c r="G123" s="159">
        <f>($C$121+E123+E123+4)*PI()+($C$121+E123+E123+8)*PI()</f>
        <v>879.64594300514204</v>
      </c>
      <c r="H123" s="72">
        <f t="shared" si="47"/>
        <v>11.368210220849667</v>
      </c>
      <c r="I123" s="211">
        <v>49</v>
      </c>
      <c r="J123" s="171">
        <f t="shared" si="45"/>
        <v>4.3102651207251963</v>
      </c>
      <c r="K123" s="66">
        <f t="shared" si="43"/>
        <v>0</v>
      </c>
      <c r="L123" s="171">
        <f t="shared" si="46"/>
        <v>4.3102651207251963</v>
      </c>
      <c r="M123" s="60"/>
    </row>
    <row r="124" spans="1:13" x14ac:dyDescent="0.2">
      <c r="A124" s="60"/>
      <c r="B124" s="12"/>
      <c r="C124" s="237"/>
      <c r="D124" s="74" t="s">
        <v>116</v>
      </c>
      <c r="E124" s="65">
        <v>16</v>
      </c>
      <c r="F124" s="158">
        <v>2</v>
      </c>
      <c r="G124" s="159">
        <f>($C$121+E124+E124+4)*PI()+($C$121+E124+E124+8)*PI()</f>
        <v>917.34505484821966</v>
      </c>
      <c r="H124" s="72">
        <f t="shared" si="47"/>
        <v>10.901023499444886</v>
      </c>
      <c r="I124" s="211">
        <v>49</v>
      </c>
      <c r="J124" s="171">
        <f t="shared" si="45"/>
        <v>4.494990768756276</v>
      </c>
      <c r="K124" s="66">
        <f t="shared" si="43"/>
        <v>0</v>
      </c>
      <c r="L124" s="171">
        <f t="shared" si="46"/>
        <v>4.494990768756276</v>
      </c>
      <c r="M124" s="60"/>
    </row>
    <row r="125" spans="1:13" x14ac:dyDescent="0.2">
      <c r="A125" s="60"/>
      <c r="B125" s="12"/>
      <c r="C125" s="237"/>
      <c r="D125" s="74" t="s">
        <v>116</v>
      </c>
      <c r="E125" s="65">
        <v>19</v>
      </c>
      <c r="F125" s="158">
        <v>2</v>
      </c>
      <c r="G125" s="159">
        <f>($C$121+E125+E125+4)*PI()+($C$121+E125+E125+8)*PI()</f>
        <v>955.04416669129705</v>
      </c>
      <c r="H125" s="72">
        <f t="shared" si="47"/>
        <v>10.470719940256274</v>
      </c>
      <c r="I125" s="211">
        <v>49</v>
      </c>
      <c r="J125" s="171">
        <f t="shared" si="45"/>
        <v>4.6797164167873557</v>
      </c>
      <c r="K125" s="66">
        <f t="shared" si="43"/>
        <v>0</v>
      </c>
      <c r="L125" s="171">
        <f t="shared" si="46"/>
        <v>4.6797164167873557</v>
      </c>
      <c r="M125" s="60"/>
    </row>
    <row r="126" spans="1:13" x14ac:dyDescent="0.2">
      <c r="A126" s="60"/>
      <c r="B126" s="12"/>
      <c r="C126" s="237"/>
      <c r="D126" s="74" t="s">
        <v>116</v>
      </c>
      <c r="E126" s="65">
        <v>25</v>
      </c>
      <c r="F126" s="158">
        <v>3</v>
      </c>
      <c r="G126" s="159">
        <f>($C$121+E126+E126+4)*PI()+($C$121+E126+E126+8)*PI()+($C$121+E126+E126+12)*PI()</f>
        <v>1564.5131414877171</v>
      </c>
      <c r="H126" s="72">
        <f t="shared" si="47"/>
        <v>6.3917647828070416</v>
      </c>
      <c r="I126" s="211">
        <v>49</v>
      </c>
      <c r="J126" s="171">
        <f t="shared" si="45"/>
        <v>7.6661143932898135</v>
      </c>
      <c r="K126" s="66">
        <f t="shared" si="43"/>
        <v>0</v>
      </c>
      <c r="L126" s="171">
        <f t="shared" si="46"/>
        <v>7.6661143932898135</v>
      </c>
      <c r="M126" s="60"/>
    </row>
    <row r="127" spans="1:13" x14ac:dyDescent="0.2">
      <c r="A127" s="60"/>
      <c r="B127" s="12"/>
      <c r="C127" s="237"/>
      <c r="D127" s="74" t="s">
        <v>116</v>
      </c>
      <c r="E127" s="65">
        <v>32</v>
      </c>
      <c r="F127" s="158">
        <v>3</v>
      </c>
      <c r="G127" s="159">
        <f>($C$121+E127+E127+4)*PI()+($C$121+E127+E127+8)*PI()+($C$121+E127+E127+12)*PI()</f>
        <v>1696.460032938488</v>
      </c>
      <c r="H127" s="72">
        <f t="shared" si="47"/>
        <v>5.8946275219220503</v>
      </c>
      <c r="I127" s="211">
        <v>49</v>
      </c>
      <c r="J127" s="171">
        <f t="shared" si="45"/>
        <v>8.3126541613985925</v>
      </c>
      <c r="K127" s="66">
        <f t="shared" si="43"/>
        <v>0</v>
      </c>
      <c r="L127" s="171">
        <f t="shared" si="46"/>
        <v>8.3126541613985925</v>
      </c>
      <c r="M127" s="60"/>
    </row>
    <row r="128" spans="1:13" x14ac:dyDescent="0.2">
      <c r="A128" s="60"/>
      <c r="B128" s="12"/>
      <c r="C128" s="237"/>
      <c r="D128" s="74" t="s">
        <v>116</v>
      </c>
      <c r="E128" s="65">
        <v>40</v>
      </c>
      <c r="F128" s="158">
        <v>4</v>
      </c>
      <c r="G128" s="159">
        <f>($C$121+E128+E128+4)*PI()+($C$121+E128+E128+8)*PI()+($C$121+E128+E128+12)*PI()+($C$121+E128+E128+16)*PI()</f>
        <v>2488.1413816431163</v>
      </c>
      <c r="H128" s="72">
        <f t="shared" si="47"/>
        <v>4.0190642194923063</v>
      </c>
      <c r="I128" s="211">
        <v>49</v>
      </c>
      <c r="J128" s="171">
        <f t="shared" si="45"/>
        <v>12.19189277005127</v>
      </c>
      <c r="K128" s="66">
        <f t="shared" si="43"/>
        <v>0</v>
      </c>
      <c r="L128" s="171">
        <f t="shared" si="46"/>
        <v>12.19189277005127</v>
      </c>
      <c r="M128" s="60"/>
    </row>
    <row r="129" spans="1:13" x14ac:dyDescent="0.2">
      <c r="A129" s="60"/>
      <c r="B129" s="12"/>
      <c r="C129" s="237"/>
      <c r="D129" s="74" t="s">
        <v>116</v>
      </c>
      <c r="E129" s="65">
        <v>50</v>
      </c>
      <c r="F129" s="158">
        <v>4</v>
      </c>
      <c r="G129" s="159">
        <f>($C$121+E129+E129+4)*PI()+($C$121+E129+E129+8)*PI()+($C$121+E129+E129+12)*PI()+($C$121+E129+E129+16)*PI()</f>
        <v>2739.4687939302994</v>
      </c>
      <c r="H129" s="72">
        <f t="shared" si="47"/>
        <v>3.6503427314654897</v>
      </c>
      <c r="I129" s="211">
        <v>49</v>
      </c>
      <c r="J129" s="171">
        <f t="shared" si="45"/>
        <v>13.423397090258467</v>
      </c>
      <c r="K129" s="66">
        <f t="shared" si="43"/>
        <v>0</v>
      </c>
      <c r="L129" s="171">
        <f t="shared" si="46"/>
        <v>13.423397090258467</v>
      </c>
      <c r="M129" s="60"/>
    </row>
    <row r="130" spans="1:13" x14ac:dyDescent="0.2">
      <c r="A130" s="60"/>
      <c r="B130" s="12"/>
      <c r="C130" s="237">
        <v>114.3</v>
      </c>
      <c r="D130" s="74" t="s">
        <v>116</v>
      </c>
      <c r="E130" s="65">
        <v>9</v>
      </c>
      <c r="F130" s="158">
        <v>1</v>
      </c>
      <c r="G130" s="159">
        <f>($C$130+E130+E130+4)*PI()</f>
        <v>428.19907868428885</v>
      </c>
      <c r="H130" s="72">
        <f t="shared" si="14"/>
        <v>23.353623344372021</v>
      </c>
      <c r="I130" s="211">
        <v>49</v>
      </c>
      <c r="J130" s="171">
        <f t="shared" ref="J130:J138" si="48">I130/H130</f>
        <v>2.0981754855530155</v>
      </c>
      <c r="K130" s="66">
        <f t="shared" si="43"/>
        <v>0</v>
      </c>
      <c r="L130" s="171">
        <f t="shared" ref="L130:L138" si="49">J130*(1-K130)</f>
        <v>2.0981754855530155</v>
      </c>
      <c r="M130" s="60"/>
    </row>
    <row r="131" spans="1:13" x14ac:dyDescent="0.2">
      <c r="A131" s="60"/>
      <c r="B131" s="12"/>
      <c r="C131" s="237"/>
      <c r="D131" s="74" t="s">
        <v>116</v>
      </c>
      <c r="E131" s="65">
        <v>10</v>
      </c>
      <c r="F131" s="158">
        <v>2</v>
      </c>
      <c r="G131" s="159">
        <f>($C$130+E131+E131+4)*PI()+($C$130+E131+E131+8)*PI()</f>
        <v>881.53089859729607</v>
      </c>
      <c r="H131" s="72">
        <f t="shared" si="14"/>
        <v>11.34390185972169</v>
      </c>
      <c r="I131" s="211">
        <v>49</v>
      </c>
      <c r="J131" s="171">
        <f t="shared" si="48"/>
        <v>4.3195014031267513</v>
      </c>
      <c r="K131" s="66">
        <f t="shared" si="43"/>
        <v>0</v>
      </c>
      <c r="L131" s="171">
        <f t="shared" si="49"/>
        <v>4.3195014031267513</v>
      </c>
      <c r="M131" s="60"/>
    </row>
    <row r="132" spans="1:13" x14ac:dyDescent="0.2">
      <c r="A132" s="60"/>
      <c r="B132" s="12"/>
      <c r="C132" s="237"/>
      <c r="D132" s="74" t="s">
        <v>116</v>
      </c>
      <c r="E132" s="65">
        <v>13</v>
      </c>
      <c r="F132" s="158">
        <v>2</v>
      </c>
      <c r="G132" s="159">
        <f>($C$130+E132+E132+4)*PI()+($C$130+E132+E132+8)*PI()</f>
        <v>919.23001044037346</v>
      </c>
      <c r="H132" s="72">
        <f t="shared" si="14"/>
        <v>10.878670067798724</v>
      </c>
      <c r="I132" s="211">
        <v>49</v>
      </c>
      <c r="J132" s="171">
        <f t="shared" si="48"/>
        <v>4.5042270511578302</v>
      </c>
      <c r="K132" s="66">
        <f t="shared" si="43"/>
        <v>0</v>
      </c>
      <c r="L132" s="171">
        <f t="shared" si="49"/>
        <v>4.5042270511578302</v>
      </c>
      <c r="M132" s="60"/>
    </row>
    <row r="133" spans="1:13" x14ac:dyDescent="0.2">
      <c r="A133" s="60"/>
      <c r="B133" s="12"/>
      <c r="C133" s="237"/>
      <c r="D133" s="74" t="s">
        <v>116</v>
      </c>
      <c r="E133" s="65">
        <v>16</v>
      </c>
      <c r="F133" s="158">
        <v>2</v>
      </c>
      <c r="G133" s="159">
        <f>($C$130+E133+E133+4)*PI()+($C$130+E133+E133+8)*PI()</f>
        <v>956.92912228345108</v>
      </c>
      <c r="H133" s="72">
        <f t="shared" si="14"/>
        <v>10.450094753243292</v>
      </c>
      <c r="I133" s="211">
        <v>49</v>
      </c>
      <c r="J133" s="171">
        <f t="shared" si="48"/>
        <v>4.6889526991889099</v>
      </c>
      <c r="K133" s="66">
        <f t="shared" si="43"/>
        <v>0</v>
      </c>
      <c r="L133" s="171">
        <f t="shared" si="49"/>
        <v>4.6889526991889099</v>
      </c>
      <c r="M133" s="60"/>
    </row>
    <row r="134" spans="1:13" x14ac:dyDescent="0.2">
      <c r="A134" s="60"/>
      <c r="B134" s="12"/>
      <c r="C134" s="237"/>
      <c r="D134" s="74" t="s">
        <v>116</v>
      </c>
      <c r="E134" s="65">
        <v>19</v>
      </c>
      <c r="F134" s="158">
        <v>2</v>
      </c>
      <c r="G134" s="159">
        <f>($C$130+E134+E134+4)*PI()+($C$130+E134+E134+8)*PI()</f>
        <v>994.62823412652858</v>
      </c>
      <c r="H134" s="72">
        <f t="shared" si="14"/>
        <v>10.054007775861992</v>
      </c>
      <c r="I134" s="211">
        <v>49</v>
      </c>
      <c r="J134" s="171">
        <f t="shared" si="48"/>
        <v>4.8736783472199896</v>
      </c>
      <c r="K134" s="66">
        <f t="shared" si="43"/>
        <v>0</v>
      </c>
      <c r="L134" s="171">
        <f t="shared" si="49"/>
        <v>4.8736783472199896</v>
      </c>
      <c r="M134" s="60"/>
    </row>
    <row r="135" spans="1:13" x14ac:dyDescent="0.2">
      <c r="A135" s="60"/>
      <c r="B135" s="12"/>
      <c r="C135" s="237"/>
      <c r="D135" s="74" t="s">
        <v>116</v>
      </c>
      <c r="E135" s="65">
        <v>25</v>
      </c>
      <c r="F135" s="158">
        <v>3</v>
      </c>
      <c r="G135" s="159">
        <f>($C$130+E135+E135+4)*PI()+($C$130+E135+E135+8)*PI()+($C$130+E135+E135+12)*PI()</f>
        <v>1623.8892426405641</v>
      </c>
      <c r="H135" s="72">
        <f t="shared" si="14"/>
        <v>6.1580554494832782</v>
      </c>
      <c r="I135" s="211">
        <v>49</v>
      </c>
      <c r="J135" s="171">
        <f t="shared" si="48"/>
        <v>7.9570572889387643</v>
      </c>
      <c r="K135" s="66">
        <f t="shared" si="43"/>
        <v>0</v>
      </c>
      <c r="L135" s="171">
        <f t="shared" si="49"/>
        <v>7.9570572889387643</v>
      </c>
      <c r="M135" s="60"/>
    </row>
    <row r="136" spans="1:13" x14ac:dyDescent="0.2">
      <c r="A136" s="60"/>
      <c r="B136" s="12"/>
      <c r="C136" s="237"/>
      <c r="D136" s="74" t="s">
        <v>116</v>
      </c>
      <c r="E136" s="65">
        <v>32</v>
      </c>
      <c r="F136" s="158">
        <v>3</v>
      </c>
      <c r="G136" s="159">
        <f>($C$130+E136+E136+4)*PI()+($C$130+E136+E136+8)*PI()+($C$130+E136+E136+12)*PI()</f>
        <v>1755.8361340913355</v>
      </c>
      <c r="H136" s="72">
        <f t="shared" si="14"/>
        <v>5.6952922917121249</v>
      </c>
      <c r="I136" s="211">
        <v>49</v>
      </c>
      <c r="J136" s="171">
        <f t="shared" si="48"/>
        <v>8.6035970570475442</v>
      </c>
      <c r="K136" s="66">
        <f t="shared" si="43"/>
        <v>0</v>
      </c>
      <c r="L136" s="171">
        <f t="shared" si="49"/>
        <v>8.6035970570475442</v>
      </c>
      <c r="M136" s="60"/>
    </row>
    <row r="137" spans="1:13" x14ac:dyDescent="0.2">
      <c r="A137" s="60"/>
      <c r="B137" s="12"/>
      <c r="C137" s="237"/>
      <c r="D137" s="74" t="s">
        <v>116</v>
      </c>
      <c r="E137" s="65">
        <v>40</v>
      </c>
      <c r="F137" s="158">
        <v>4</v>
      </c>
      <c r="G137" s="159">
        <f>($C$130+E137+E137+4)*PI()+($C$130+E137+E137+8)*PI()+($C$130+E137+E137+12)*PI()+($C$130+E137+E137+16)*PI()</f>
        <v>2567.3095165135792</v>
      </c>
      <c r="H137" s="72">
        <f t="shared" si="14"/>
        <v>3.8951283184506931</v>
      </c>
      <c r="I137" s="211">
        <v>49</v>
      </c>
      <c r="J137" s="171">
        <f t="shared" si="48"/>
        <v>12.579816630916538</v>
      </c>
      <c r="K137" s="66">
        <f t="shared" si="43"/>
        <v>0</v>
      </c>
      <c r="L137" s="171">
        <f t="shared" si="49"/>
        <v>12.579816630916538</v>
      </c>
      <c r="M137" s="60"/>
    </row>
    <row r="138" spans="1:13" x14ac:dyDescent="0.2">
      <c r="A138" s="60"/>
      <c r="B138" s="12"/>
      <c r="C138" s="237"/>
      <c r="D138" s="74" t="s">
        <v>116</v>
      </c>
      <c r="E138" s="65">
        <v>50</v>
      </c>
      <c r="F138" s="158">
        <v>4</v>
      </c>
      <c r="G138" s="159">
        <f>($C$130+E138+E138+4)*PI()+($C$130+E138+E138+8)*PI()+($C$130+E138+E138+12)*PI()+($C$130+E138+E138+16)*PI()</f>
        <v>2818.6369288007627</v>
      </c>
      <c r="H138" s="72">
        <f t="shared" si="14"/>
        <v>3.5478141571978448</v>
      </c>
      <c r="I138" s="211">
        <v>49</v>
      </c>
      <c r="J138" s="171">
        <f t="shared" si="48"/>
        <v>13.811320951123738</v>
      </c>
      <c r="K138" s="66">
        <f t="shared" si="43"/>
        <v>0</v>
      </c>
      <c r="L138" s="171">
        <f t="shared" si="49"/>
        <v>13.811320951123738</v>
      </c>
      <c r="M138" s="60"/>
    </row>
    <row r="139" spans="1:13" x14ac:dyDescent="0.2">
      <c r="A139" s="60"/>
      <c r="B139" s="12"/>
      <c r="C139" s="237">
        <v>139.69999999999999</v>
      </c>
      <c r="D139" s="74" t="s">
        <v>116</v>
      </c>
      <c r="E139" s="65">
        <v>9</v>
      </c>
      <c r="F139" s="158">
        <v>1</v>
      </c>
      <c r="G139" s="159">
        <f>($C$139+E139+E139+4)*PI()</f>
        <v>507.99553208546951</v>
      </c>
      <c r="H139" s="72">
        <f t="shared" si="14"/>
        <v>19.685212503635789</v>
      </c>
      <c r="I139" s="211">
        <v>49</v>
      </c>
      <c r="J139" s="171">
        <f t="shared" si="45"/>
        <v>2.4891781072188004</v>
      </c>
      <c r="K139" s="66">
        <f t="shared" si="43"/>
        <v>0</v>
      </c>
      <c r="L139" s="171">
        <f t="shared" si="46"/>
        <v>2.4891781072188004</v>
      </c>
      <c r="M139" s="60"/>
    </row>
    <row r="140" spans="1:13" x14ac:dyDescent="0.2">
      <c r="A140" s="60"/>
      <c r="B140" s="12"/>
      <c r="C140" s="237"/>
      <c r="D140" s="74" t="s">
        <v>116</v>
      </c>
      <c r="E140" s="65">
        <v>10</v>
      </c>
      <c r="F140" s="158">
        <v>2</v>
      </c>
      <c r="G140" s="159">
        <f>($C$139+E140+E140+4)*PI()+($C$139+E140+E140+8)*PI()</f>
        <v>1041.1238053996574</v>
      </c>
      <c r="H140" s="72">
        <f t="shared" si="14"/>
        <v>9.6050056180986942</v>
      </c>
      <c r="I140" s="211">
        <v>49</v>
      </c>
      <c r="J140" s="171">
        <f t="shared" si="45"/>
        <v>5.1015066464583212</v>
      </c>
      <c r="K140" s="66">
        <f t="shared" si="43"/>
        <v>0</v>
      </c>
      <c r="L140" s="171">
        <f t="shared" si="46"/>
        <v>5.1015066464583212</v>
      </c>
      <c r="M140" s="60"/>
    </row>
    <row r="141" spans="1:13" x14ac:dyDescent="0.2">
      <c r="A141" s="60"/>
      <c r="B141" s="12"/>
      <c r="C141" s="237"/>
      <c r="D141" s="74" t="s">
        <v>116</v>
      </c>
      <c r="E141" s="65">
        <v>13</v>
      </c>
      <c r="F141" s="158">
        <v>2</v>
      </c>
      <c r="G141" s="159">
        <f>($C$139+E141+E141+4)*PI()+($C$139+E141+E141+8)*PI()</f>
        <v>1078.822917242735</v>
      </c>
      <c r="H141" s="72">
        <f t="shared" si="14"/>
        <v>9.2693618574196464</v>
      </c>
      <c r="I141" s="211">
        <v>49</v>
      </c>
      <c r="J141" s="171">
        <f t="shared" si="45"/>
        <v>5.2862322944894018</v>
      </c>
      <c r="K141" s="66">
        <f t="shared" si="43"/>
        <v>0</v>
      </c>
      <c r="L141" s="171">
        <f t="shared" si="46"/>
        <v>5.2862322944894018</v>
      </c>
      <c r="M141" s="60"/>
    </row>
    <row r="142" spans="1:13" x14ac:dyDescent="0.2">
      <c r="A142" s="60"/>
      <c r="B142" s="12"/>
      <c r="C142" s="237"/>
      <c r="D142" s="74" t="s">
        <v>116</v>
      </c>
      <c r="E142" s="65">
        <v>16</v>
      </c>
      <c r="F142" s="158">
        <v>2</v>
      </c>
      <c r="G142" s="159">
        <f>($C$139+E142+E142+4)*PI()+($C$139+E142+E142+8)*PI()</f>
        <v>1116.5220290858124</v>
      </c>
      <c r="H142" s="72">
        <f t="shared" si="14"/>
        <v>8.9563839669046352</v>
      </c>
      <c r="I142" s="211">
        <v>49</v>
      </c>
      <c r="J142" s="171">
        <f t="shared" si="45"/>
        <v>5.4709579425204806</v>
      </c>
      <c r="K142" s="66">
        <f t="shared" si="43"/>
        <v>0</v>
      </c>
      <c r="L142" s="171">
        <f t="shared" si="46"/>
        <v>5.4709579425204806</v>
      </c>
      <c r="M142" s="60"/>
    </row>
    <row r="143" spans="1:13" x14ac:dyDescent="0.2">
      <c r="A143" s="60"/>
      <c r="B143" s="12"/>
      <c r="C143" s="237"/>
      <c r="D143" s="74" t="s">
        <v>116</v>
      </c>
      <c r="E143" s="65">
        <v>19</v>
      </c>
      <c r="F143" s="158">
        <v>2</v>
      </c>
      <c r="G143" s="159">
        <f>($C$139+E143+E143+4)*PI()+($C$139+E143+E143+8)*PI()</f>
        <v>1154.2211409288898</v>
      </c>
      <c r="H143" s="72">
        <f t="shared" si="14"/>
        <v>8.6638510120792258</v>
      </c>
      <c r="I143" s="211">
        <v>49</v>
      </c>
      <c r="J143" s="171">
        <f t="shared" si="45"/>
        <v>5.6556835905515594</v>
      </c>
      <c r="K143" s="66">
        <f t="shared" si="43"/>
        <v>0</v>
      </c>
      <c r="L143" s="171">
        <f t="shared" si="46"/>
        <v>5.6556835905515594</v>
      </c>
      <c r="M143" s="60"/>
    </row>
    <row r="144" spans="1:13" x14ac:dyDescent="0.2">
      <c r="A144" s="60"/>
      <c r="B144" s="12"/>
      <c r="C144" s="237"/>
      <c r="D144" s="74" t="s">
        <v>116</v>
      </c>
      <c r="E144" s="65">
        <v>25</v>
      </c>
      <c r="F144" s="158">
        <v>3</v>
      </c>
      <c r="G144" s="159">
        <f>($C$139+E144+E144+4)*PI()+($C$139+E144+E144+8)*PI()+($C$139+E144+E144+12)*PI()</f>
        <v>1863.2786028441062</v>
      </c>
      <c r="H144" s="72">
        <f t="shared" si="14"/>
        <v>5.3668839349821393</v>
      </c>
      <c r="I144" s="211">
        <v>49</v>
      </c>
      <c r="J144" s="171">
        <f t="shared" si="45"/>
        <v>9.1300651539361208</v>
      </c>
      <c r="K144" s="66">
        <f t="shared" si="43"/>
        <v>0</v>
      </c>
      <c r="L144" s="171">
        <f t="shared" si="46"/>
        <v>9.1300651539361208</v>
      </c>
      <c r="M144" s="60"/>
    </row>
    <row r="145" spans="1:13" x14ac:dyDescent="0.2">
      <c r="A145" s="60"/>
      <c r="B145" s="12"/>
      <c r="C145" s="237"/>
      <c r="D145" s="74" t="s">
        <v>116</v>
      </c>
      <c r="E145" s="65">
        <v>32</v>
      </c>
      <c r="F145" s="158">
        <v>3</v>
      </c>
      <c r="G145" s="159">
        <f>($C$139+E145+E145+4)*PI()+($C$139+E145+E145+8)*PI()+($C$139+E145+E145+12)*PI()</f>
        <v>1995.2254942948775</v>
      </c>
      <c r="H145" s="72">
        <f t="shared" si="14"/>
        <v>5.0119648273309823</v>
      </c>
      <c r="I145" s="211">
        <v>49</v>
      </c>
      <c r="J145" s="171">
        <f t="shared" si="45"/>
        <v>9.7766049220448998</v>
      </c>
      <c r="K145" s="66">
        <f t="shared" si="43"/>
        <v>0</v>
      </c>
      <c r="L145" s="171">
        <f t="shared" si="46"/>
        <v>9.7766049220448998</v>
      </c>
      <c r="M145" s="60"/>
    </row>
    <row r="146" spans="1:13" x14ac:dyDescent="0.2">
      <c r="A146" s="60"/>
      <c r="B146" s="12"/>
      <c r="C146" s="237"/>
      <c r="D146" s="74" t="s">
        <v>116</v>
      </c>
      <c r="E146" s="65">
        <v>40</v>
      </c>
      <c r="F146" s="158">
        <v>4</v>
      </c>
      <c r="G146" s="159">
        <f>($C$139+E146+E146+4)*PI()+($C$139+E146+E146+8)*PI()+($C$139+E146+E146+12)*PI()+($C$139+E146+E146+16)*PI()</f>
        <v>2886.4953301183018</v>
      </c>
      <c r="H146" s="72">
        <f t="shared" si="14"/>
        <v>3.4644088613821364</v>
      </c>
      <c r="I146" s="211">
        <v>49</v>
      </c>
      <c r="J146" s="171">
        <f t="shared" si="45"/>
        <v>14.143827117579679</v>
      </c>
      <c r="K146" s="66">
        <f t="shared" si="43"/>
        <v>0</v>
      </c>
      <c r="L146" s="171">
        <f t="shared" si="46"/>
        <v>14.143827117579679</v>
      </c>
      <c r="M146" s="60"/>
    </row>
    <row r="147" spans="1:13" x14ac:dyDescent="0.2">
      <c r="A147" s="60"/>
      <c r="B147" s="12"/>
      <c r="C147" s="237"/>
      <c r="D147" s="74" t="s">
        <v>116</v>
      </c>
      <c r="E147" s="65">
        <v>50</v>
      </c>
      <c r="F147" s="158">
        <v>4</v>
      </c>
      <c r="G147" s="159">
        <f>($C$139+E147+E147+4)*PI()+($C$139+E147+E147+8)*PI()+($C$139+E147+E147+12)*PI()+($C$139+E147+E147+16)*PI()</f>
        <v>3137.8227424054849</v>
      </c>
      <c r="H147" s="72">
        <f t="shared" si="14"/>
        <v>3.186923169641477</v>
      </c>
      <c r="I147" s="211">
        <v>49</v>
      </c>
      <c r="J147" s="171">
        <f t="shared" si="45"/>
        <v>15.375331437786876</v>
      </c>
      <c r="K147" s="66">
        <f t="shared" si="43"/>
        <v>0</v>
      </c>
      <c r="L147" s="171">
        <f t="shared" si="46"/>
        <v>15.375331437786876</v>
      </c>
      <c r="M147" s="60"/>
    </row>
    <row r="148" spans="1:13" x14ac:dyDescent="0.2">
      <c r="A148" s="60"/>
      <c r="B148" s="12"/>
      <c r="C148" s="237">
        <v>159</v>
      </c>
      <c r="D148" s="74" t="s">
        <v>116</v>
      </c>
      <c r="E148" s="65">
        <v>9</v>
      </c>
      <c r="F148" s="158">
        <v>1</v>
      </c>
      <c r="G148" s="159">
        <f>($C$148+E148+E148+4)*PI()</f>
        <v>568.62827029975256</v>
      </c>
      <c r="H148" s="72">
        <f t="shared" ref="H148:H156" si="50">10000/G148</f>
        <v>17.586181557115506</v>
      </c>
      <c r="I148" s="211">
        <v>49</v>
      </c>
      <c r="J148" s="171">
        <f t="shared" si="45"/>
        <v>2.7862785244687878</v>
      </c>
      <c r="K148" s="66">
        <f t="shared" si="43"/>
        <v>0</v>
      </c>
      <c r="L148" s="171">
        <f t="shared" si="46"/>
        <v>2.7862785244687878</v>
      </c>
      <c r="M148" s="60"/>
    </row>
    <row r="149" spans="1:13" x14ac:dyDescent="0.2">
      <c r="A149" s="60"/>
      <c r="B149" s="12"/>
      <c r="C149" s="237"/>
      <c r="D149" s="74" t="s">
        <v>116</v>
      </c>
      <c r="E149" s="65">
        <v>10</v>
      </c>
      <c r="F149" s="158">
        <v>2</v>
      </c>
      <c r="G149" s="159">
        <f>($C$148+E149+E149+4)*PI()+($C$148+E149+E149+8)*PI()</f>
        <v>1162.3892818282234</v>
      </c>
      <c r="H149" s="72">
        <f t="shared" si="50"/>
        <v>8.602969896859209</v>
      </c>
      <c r="I149" s="211">
        <v>49</v>
      </c>
      <c r="J149" s="171">
        <f t="shared" si="45"/>
        <v>5.6957074809582942</v>
      </c>
      <c r="K149" s="66">
        <f t="shared" si="43"/>
        <v>0</v>
      </c>
      <c r="L149" s="171">
        <f t="shared" si="46"/>
        <v>5.6957074809582942</v>
      </c>
      <c r="M149" s="60"/>
    </row>
    <row r="150" spans="1:13" x14ac:dyDescent="0.2">
      <c r="A150" s="60"/>
      <c r="B150" s="12"/>
      <c r="C150" s="237"/>
      <c r="D150" s="74" t="s">
        <v>116</v>
      </c>
      <c r="E150" s="65">
        <v>13</v>
      </c>
      <c r="F150" s="158">
        <v>2</v>
      </c>
      <c r="G150" s="159">
        <f>($C$148+E150+E150+4)*PI()+($C$148+E150+E150+8)*PI()</f>
        <v>1200.088393671301</v>
      </c>
      <c r="H150" s="72">
        <f t="shared" si="50"/>
        <v>8.3327195336070865</v>
      </c>
      <c r="I150" s="211">
        <v>49</v>
      </c>
      <c r="J150" s="171">
        <f t="shared" si="45"/>
        <v>5.8804331289893748</v>
      </c>
      <c r="K150" s="66">
        <f t="shared" si="43"/>
        <v>0</v>
      </c>
      <c r="L150" s="171">
        <f t="shared" si="46"/>
        <v>5.8804331289893748</v>
      </c>
      <c r="M150" s="60"/>
    </row>
    <row r="151" spans="1:13" x14ac:dyDescent="0.2">
      <c r="A151" s="60"/>
      <c r="B151" s="12"/>
      <c r="C151" s="237"/>
      <c r="D151" s="74" t="s">
        <v>116</v>
      </c>
      <c r="E151" s="65">
        <v>16</v>
      </c>
      <c r="F151" s="158">
        <v>2</v>
      </c>
      <c r="G151" s="159">
        <f>($C$148+E151+E151+4)*PI()+($C$148+E151+E151+8)*PI()</f>
        <v>1237.7875055143786</v>
      </c>
      <c r="H151" s="72">
        <f t="shared" si="50"/>
        <v>8.0789311214160069</v>
      </c>
      <c r="I151" s="211">
        <v>49</v>
      </c>
      <c r="J151" s="171">
        <f t="shared" si="45"/>
        <v>6.0651587770204545</v>
      </c>
      <c r="K151" s="66">
        <f t="shared" si="43"/>
        <v>0</v>
      </c>
      <c r="L151" s="171">
        <f t="shared" si="46"/>
        <v>6.0651587770204545</v>
      </c>
      <c r="M151" s="60"/>
    </row>
    <row r="152" spans="1:13" x14ac:dyDescent="0.2">
      <c r="A152" s="60"/>
      <c r="B152" s="12"/>
      <c r="C152" s="237"/>
      <c r="D152" s="74" t="s">
        <v>116</v>
      </c>
      <c r="E152" s="65">
        <v>19</v>
      </c>
      <c r="F152" s="158">
        <v>2</v>
      </c>
      <c r="G152" s="159">
        <f>($C$148+E152+E152+4)*PI()+($C$148+E152+E152+8)*PI()</f>
        <v>1275.486617357456</v>
      </c>
      <c r="H152" s="72">
        <f t="shared" si="50"/>
        <v>7.8401449798963228</v>
      </c>
      <c r="I152" s="211">
        <v>49</v>
      </c>
      <c r="J152" s="171">
        <f t="shared" si="45"/>
        <v>6.2498844250515342</v>
      </c>
      <c r="K152" s="66">
        <f t="shared" si="43"/>
        <v>0</v>
      </c>
      <c r="L152" s="171">
        <f t="shared" si="46"/>
        <v>6.2498844250515342</v>
      </c>
      <c r="M152" s="60"/>
    </row>
    <row r="153" spans="1:13" x14ac:dyDescent="0.2">
      <c r="A153" s="60"/>
      <c r="B153" s="12"/>
      <c r="C153" s="237"/>
      <c r="D153" s="74" t="s">
        <v>116</v>
      </c>
      <c r="E153" s="65">
        <v>25</v>
      </c>
      <c r="F153" s="158">
        <v>3</v>
      </c>
      <c r="G153" s="159">
        <f>($C$148+E153+E153+4)*PI()+($C$148+E153+E153+8)*PI()+($C$148+E153+E153+12)*PI()</f>
        <v>2045.1768174869553</v>
      </c>
      <c r="H153" s="72">
        <f t="shared" si="50"/>
        <v>4.8895527831611476</v>
      </c>
      <c r="I153" s="211">
        <v>49</v>
      </c>
      <c r="J153" s="171">
        <f t="shared" si="45"/>
        <v>10.021366405686081</v>
      </c>
      <c r="K153" s="66">
        <f t="shared" si="43"/>
        <v>0</v>
      </c>
      <c r="L153" s="171">
        <f t="shared" si="46"/>
        <v>10.021366405686081</v>
      </c>
      <c r="M153" s="60"/>
    </row>
    <row r="154" spans="1:13" x14ac:dyDescent="0.2">
      <c r="A154" s="60"/>
      <c r="B154" s="12"/>
      <c r="C154" s="237"/>
      <c r="D154" s="74" t="s">
        <v>116</v>
      </c>
      <c r="E154" s="65">
        <v>32</v>
      </c>
      <c r="F154" s="158">
        <v>3</v>
      </c>
      <c r="G154" s="159">
        <f>($C$148+E154+E154+4)*PI()+($C$148+E154+E154+8)*PI()+($C$148+E154+E154+12)*PI()</f>
        <v>2177.1237089377264</v>
      </c>
      <c r="H154" s="72">
        <f t="shared" si="50"/>
        <v>4.5932162508483509</v>
      </c>
      <c r="I154" s="211">
        <v>49</v>
      </c>
      <c r="J154" s="171">
        <f t="shared" si="45"/>
        <v>10.66790617379486</v>
      </c>
      <c r="K154" s="66">
        <f t="shared" si="43"/>
        <v>0</v>
      </c>
      <c r="L154" s="171">
        <f t="shared" si="46"/>
        <v>10.66790617379486</v>
      </c>
      <c r="M154" s="60"/>
    </row>
    <row r="155" spans="1:13" x14ac:dyDescent="0.2">
      <c r="A155" s="60"/>
      <c r="B155" s="12"/>
      <c r="C155" s="237"/>
      <c r="D155" s="74" t="s">
        <v>116</v>
      </c>
      <c r="E155" s="65">
        <v>40</v>
      </c>
      <c r="F155" s="158">
        <v>4</v>
      </c>
      <c r="G155" s="159">
        <f>($C$148+E155+E155+4)*PI()+($C$148+E155+E155+8)*PI()+($C$148+E155+E155+12)*PI()+($C$148+E155+E155+16)*PI()</f>
        <v>3129.0262829754342</v>
      </c>
      <c r="H155" s="72">
        <f t="shared" si="50"/>
        <v>3.1958823914035208</v>
      </c>
      <c r="I155" s="211">
        <v>49</v>
      </c>
      <c r="J155" s="171">
        <f t="shared" si="45"/>
        <v>15.332228786579627</v>
      </c>
      <c r="K155" s="66">
        <f t="shared" si="43"/>
        <v>0</v>
      </c>
      <c r="L155" s="171">
        <f t="shared" si="46"/>
        <v>15.332228786579627</v>
      </c>
      <c r="M155" s="60"/>
    </row>
    <row r="156" spans="1:13" x14ac:dyDescent="0.2">
      <c r="A156" s="60"/>
      <c r="B156" s="12"/>
      <c r="C156" s="237"/>
      <c r="D156" s="74" t="s">
        <v>116</v>
      </c>
      <c r="E156" s="65">
        <v>50</v>
      </c>
      <c r="F156" s="158">
        <v>4</v>
      </c>
      <c r="G156" s="159">
        <f>($C$148+E156+E156+4)*PI()+($C$148+E156+E156+8)*PI()+($C$148+E156+E156+12)*PI()+($C$148+E156+E156+16)*PI()</f>
        <v>3380.3536952626173</v>
      </c>
      <c r="H156" s="72">
        <f t="shared" si="50"/>
        <v>2.9582703176932221</v>
      </c>
      <c r="I156" s="211">
        <v>49</v>
      </c>
      <c r="J156" s="171">
        <f t="shared" si="45"/>
        <v>16.563733106786824</v>
      </c>
      <c r="K156" s="66">
        <f t="shared" si="43"/>
        <v>0</v>
      </c>
      <c r="L156" s="171">
        <f t="shared" si="46"/>
        <v>16.563733106786824</v>
      </c>
      <c r="M156" s="60"/>
    </row>
    <row r="157" spans="1:13" x14ac:dyDescent="0.2">
      <c r="A157" s="60"/>
      <c r="B157" s="12"/>
      <c r="C157" s="237">
        <v>168.3</v>
      </c>
      <c r="D157" s="74" t="s">
        <v>116</v>
      </c>
      <c r="E157" s="65">
        <v>9</v>
      </c>
      <c r="F157" s="158">
        <v>1</v>
      </c>
      <c r="G157" s="159">
        <f>($C$157+E157+E157+4)*PI()</f>
        <v>597.84508197813761</v>
      </c>
      <c r="H157" s="72">
        <f t="shared" si="14"/>
        <v>16.726741260314803</v>
      </c>
      <c r="I157" s="211">
        <v>49</v>
      </c>
      <c r="J157" s="171">
        <f t="shared" ref="J157:J168" si="51">I157/H157</f>
        <v>2.9294409016928742</v>
      </c>
      <c r="K157" s="66">
        <f t="shared" si="43"/>
        <v>0</v>
      </c>
      <c r="L157" s="171">
        <f t="shared" ref="L157:L168" si="52">J157*(1-K157)</f>
        <v>2.9294409016928742</v>
      </c>
      <c r="M157" s="60"/>
    </row>
    <row r="158" spans="1:13" x14ac:dyDescent="0.2">
      <c r="A158" s="60"/>
      <c r="B158" s="12"/>
      <c r="C158" s="237"/>
      <c r="D158" s="74" t="s">
        <v>116</v>
      </c>
      <c r="E158" s="65">
        <v>10</v>
      </c>
      <c r="F158" s="158">
        <v>2</v>
      </c>
      <c r="G158" s="159">
        <f>($C$157+E158+E158+4)*PI()+($C$157+E158+E158+8)*PI()</f>
        <v>1220.8229051849937</v>
      </c>
      <c r="H158" s="72">
        <f t="shared" si="14"/>
        <v>8.1911962476528739</v>
      </c>
      <c r="I158" s="211">
        <v>49</v>
      </c>
      <c r="J158" s="171">
        <f t="shared" si="51"/>
        <v>5.9820322354064688</v>
      </c>
      <c r="K158" s="66">
        <f t="shared" si="43"/>
        <v>0</v>
      </c>
      <c r="L158" s="171">
        <f t="shared" si="52"/>
        <v>5.9820322354064688</v>
      </c>
      <c r="M158" s="60"/>
    </row>
    <row r="159" spans="1:13" x14ac:dyDescent="0.2">
      <c r="A159" s="60"/>
      <c r="B159" s="12"/>
      <c r="C159" s="237"/>
      <c r="D159" s="74" t="s">
        <v>116</v>
      </c>
      <c r="E159" s="65">
        <v>13</v>
      </c>
      <c r="F159" s="158">
        <v>2</v>
      </c>
      <c r="G159" s="159">
        <f>($C$157+E159+E159+4)*PI()+($C$157+E159+E159+8)*PI()</f>
        <v>1258.5220170280713</v>
      </c>
      <c r="H159" s="72">
        <f t="shared" ref="H159:H169" si="53">10000/G159</f>
        <v>7.9458284119768008</v>
      </c>
      <c r="I159" s="211">
        <v>49</v>
      </c>
      <c r="J159" s="171">
        <f t="shared" si="51"/>
        <v>6.1667578834375494</v>
      </c>
      <c r="K159" s="66">
        <f t="shared" ref="K159:K169" si="54">$K$49</f>
        <v>0</v>
      </c>
      <c r="L159" s="171">
        <f t="shared" si="52"/>
        <v>6.1667578834375494</v>
      </c>
      <c r="M159" s="60"/>
    </row>
    <row r="160" spans="1:13" x14ac:dyDescent="0.2">
      <c r="A160" s="60"/>
      <c r="B160" s="12"/>
      <c r="C160" s="237"/>
      <c r="D160" s="74" t="s">
        <v>116</v>
      </c>
      <c r="E160" s="65">
        <v>16</v>
      </c>
      <c r="F160" s="158">
        <v>2</v>
      </c>
      <c r="G160" s="159">
        <f>($C$157+E160+E160+4)*PI()+($C$157+E160+E160+8)*PI()</f>
        <v>1296.2211288711487</v>
      </c>
      <c r="H160" s="72">
        <f t="shared" si="53"/>
        <v>7.7147330631068991</v>
      </c>
      <c r="I160" s="211">
        <v>49</v>
      </c>
      <c r="J160" s="171">
        <f t="shared" si="51"/>
        <v>6.3514835314686291</v>
      </c>
      <c r="K160" s="66">
        <f t="shared" si="54"/>
        <v>0</v>
      </c>
      <c r="L160" s="171">
        <f t="shared" si="52"/>
        <v>6.3514835314686291</v>
      </c>
      <c r="M160" s="60"/>
    </row>
    <row r="161" spans="1:15" x14ac:dyDescent="0.2">
      <c r="A161" s="60"/>
      <c r="B161" s="12"/>
      <c r="C161" s="237"/>
      <c r="D161" s="74" t="s">
        <v>116</v>
      </c>
      <c r="E161" s="65">
        <v>19</v>
      </c>
      <c r="F161" s="158">
        <v>2</v>
      </c>
      <c r="G161" s="159">
        <f>($C$157+E161+E161+4)*PI()+($C$157+E161+E161+8)*PI()</f>
        <v>1333.9202407142261</v>
      </c>
      <c r="H161" s="72">
        <f t="shared" si="53"/>
        <v>7.4967000985348724</v>
      </c>
      <c r="I161" s="211">
        <v>49</v>
      </c>
      <c r="J161" s="171">
        <f t="shared" si="51"/>
        <v>6.5362091794997079</v>
      </c>
      <c r="K161" s="66">
        <f t="shared" si="54"/>
        <v>0</v>
      </c>
      <c r="L161" s="171">
        <f t="shared" si="52"/>
        <v>6.5362091794997079</v>
      </c>
      <c r="M161" s="60"/>
    </row>
    <row r="162" spans="1:15" x14ac:dyDescent="0.2">
      <c r="A162" s="60"/>
      <c r="B162" s="12"/>
      <c r="C162" s="237"/>
      <c r="D162" s="74" t="s">
        <v>116</v>
      </c>
      <c r="E162" s="65">
        <v>25</v>
      </c>
      <c r="F162" s="158">
        <v>3</v>
      </c>
      <c r="G162" s="159">
        <f>($C$157+E162+E162+4)*PI()+($C$157+E162+E162+8)*PI()+($C$157+E162+E162+12)*PI()</f>
        <v>2132.8272525221109</v>
      </c>
      <c r="H162" s="72">
        <f t="shared" si="53"/>
        <v>4.6886122578257563</v>
      </c>
      <c r="I162" s="211">
        <v>49</v>
      </c>
      <c r="J162" s="171">
        <f t="shared" si="51"/>
        <v>10.450853537358345</v>
      </c>
      <c r="K162" s="66">
        <f t="shared" si="54"/>
        <v>0</v>
      </c>
      <c r="L162" s="171">
        <f t="shared" si="52"/>
        <v>10.450853537358345</v>
      </c>
      <c r="M162" s="60"/>
    </row>
    <row r="163" spans="1:15" x14ac:dyDescent="0.2">
      <c r="A163" s="60"/>
      <c r="B163" s="12"/>
      <c r="C163" s="237"/>
      <c r="D163" s="74" t="s">
        <v>116</v>
      </c>
      <c r="E163" s="65">
        <v>32</v>
      </c>
      <c r="F163" s="158">
        <v>3</v>
      </c>
      <c r="G163" s="159">
        <f>($C$157+E163+E163+4)*PI()+($C$157+E163+E163+8)*PI()+($C$157+E163+E163+12)*PI()</f>
        <v>2264.774143972882</v>
      </c>
      <c r="H163" s="72">
        <f t="shared" si="53"/>
        <v>4.4154513272824341</v>
      </c>
      <c r="I163" s="211">
        <v>49</v>
      </c>
      <c r="J163" s="171">
        <f t="shared" si="51"/>
        <v>11.097393305467122</v>
      </c>
      <c r="K163" s="66">
        <f t="shared" si="54"/>
        <v>0</v>
      </c>
      <c r="L163" s="171">
        <f t="shared" si="52"/>
        <v>11.097393305467122</v>
      </c>
      <c r="M163" s="60"/>
    </row>
    <row r="164" spans="1:15" x14ac:dyDescent="0.2">
      <c r="A164" s="60"/>
      <c r="B164" s="12"/>
      <c r="C164" s="237"/>
      <c r="D164" s="74" t="s">
        <v>116</v>
      </c>
      <c r="E164" s="65">
        <v>40</v>
      </c>
      <c r="F164" s="158">
        <v>4</v>
      </c>
      <c r="G164" s="159">
        <f>($C$157+E164+E164+4)*PI()+($C$157+E164+E164+8)*PI()+($C$157+E164+E164+12)*PI()+($C$157+E164+E164+16)*PI()</f>
        <v>3245.8935296889745</v>
      </c>
      <c r="H164" s="72">
        <f t="shared" si="53"/>
        <v>3.0808157780080396</v>
      </c>
      <c r="I164" s="211">
        <v>49</v>
      </c>
      <c r="J164" s="171">
        <f t="shared" si="51"/>
        <v>15.904878295475974</v>
      </c>
      <c r="K164" s="66">
        <f t="shared" si="54"/>
        <v>0</v>
      </c>
      <c r="L164" s="171">
        <f t="shared" si="52"/>
        <v>15.904878295475974</v>
      </c>
      <c r="M164" s="60"/>
    </row>
    <row r="165" spans="1:15" x14ac:dyDescent="0.2">
      <c r="A165" s="60"/>
      <c r="B165" s="12"/>
      <c r="C165" s="237"/>
      <c r="D165" s="74" t="s">
        <v>116</v>
      </c>
      <c r="E165" s="65">
        <v>50</v>
      </c>
      <c r="F165" s="158">
        <v>4</v>
      </c>
      <c r="G165" s="159">
        <f>($C$157+E165+E165+4)*PI()+($C$157+E165+E165+8)*PI()+($C$157+E165+E165+12)*PI()+($C$157+E165+E165+16)*PI()</f>
        <v>3497.2209419761575</v>
      </c>
      <c r="H165" s="72">
        <f t="shared" si="53"/>
        <v>2.8594132786901789</v>
      </c>
      <c r="I165" s="211">
        <v>49</v>
      </c>
      <c r="J165" s="171">
        <f t="shared" si="51"/>
        <v>17.136382615683171</v>
      </c>
      <c r="K165" s="66">
        <f t="shared" si="54"/>
        <v>0</v>
      </c>
      <c r="L165" s="171">
        <f t="shared" si="52"/>
        <v>17.136382615683171</v>
      </c>
      <c r="M165" s="60"/>
    </row>
    <row r="166" spans="1:15" x14ac:dyDescent="0.2">
      <c r="A166" s="60"/>
      <c r="B166" s="12"/>
      <c r="C166" s="133">
        <v>219</v>
      </c>
      <c r="D166" s="74" t="s">
        <v>116</v>
      </c>
      <c r="E166" s="65">
        <v>50</v>
      </c>
      <c r="F166" s="158">
        <v>4</v>
      </c>
      <c r="G166" s="159">
        <f>($C$166+E166+E166+4)*PI()+($C$166+E166+E166+8)*PI()+($C$166+E166+E166+12)*PI()+($C$166+E166+E166+16)*PI()</f>
        <v>4134.3359321241678</v>
      </c>
      <c r="H166" s="72">
        <f t="shared" ref="H166" si="55">10000/G166</f>
        <v>2.418768132095674</v>
      </c>
      <c r="I166" s="211">
        <v>49</v>
      </c>
      <c r="J166" s="171">
        <f t="shared" si="51"/>
        <v>20.258246067408422</v>
      </c>
      <c r="K166" s="66">
        <f t="shared" si="54"/>
        <v>0</v>
      </c>
      <c r="L166" s="171">
        <f t="shared" si="52"/>
        <v>20.258246067408422</v>
      </c>
      <c r="M166" s="60"/>
    </row>
    <row r="167" spans="1:15" x14ac:dyDescent="0.2">
      <c r="A167" s="60"/>
      <c r="B167" s="12"/>
      <c r="C167" s="133">
        <v>273</v>
      </c>
      <c r="D167" s="74" t="s">
        <v>116</v>
      </c>
      <c r="E167" s="65">
        <v>50</v>
      </c>
      <c r="F167" s="158">
        <v>4</v>
      </c>
      <c r="G167" s="159">
        <f>($C$167+E167+E167+4)*PI()+($C$167+E167+E167+8)*PI()+($C$167+E167+E167+12)*PI()+($C$167+E167+E167+16)*PI()</f>
        <v>4812.9199452995636</v>
      </c>
      <c r="H167" s="72">
        <f t="shared" si="53"/>
        <v>2.077740771434665</v>
      </c>
      <c r="I167" s="211">
        <v>49</v>
      </c>
      <c r="J167" s="171">
        <f t="shared" ref="J167" si="56">I167/H167</f>
        <v>23.58330773196786</v>
      </c>
      <c r="K167" s="66">
        <f t="shared" si="54"/>
        <v>0</v>
      </c>
      <c r="L167" s="171">
        <f t="shared" ref="L167" si="57">J167*(1-K167)</f>
        <v>23.58330773196786</v>
      </c>
      <c r="M167" s="60"/>
    </row>
    <row r="168" spans="1:15" x14ac:dyDescent="0.2">
      <c r="A168" s="60"/>
      <c r="B168" s="12"/>
      <c r="C168" s="133">
        <v>323.89999999999998</v>
      </c>
      <c r="D168" s="74" t="s">
        <v>116</v>
      </c>
      <c r="E168" s="65">
        <v>50</v>
      </c>
      <c r="F168" s="158">
        <v>4</v>
      </c>
      <c r="G168" s="159">
        <f>($C$168+E168+E168+4)*PI()+($C$168+E168+E168+8)*PI()+($C$168+E168+E168+12)*PI()+($C$168+E168+E168+16)*PI()</f>
        <v>5452.5482095704447</v>
      </c>
      <c r="H168" s="72">
        <f t="shared" ref="H168" si="58">10000/G168</f>
        <v>1.8340048754539682</v>
      </c>
      <c r="I168" s="211">
        <v>49</v>
      </c>
      <c r="J168" s="171">
        <f t="shared" si="51"/>
        <v>26.717486226895179</v>
      </c>
      <c r="K168" s="66">
        <f t="shared" si="54"/>
        <v>0</v>
      </c>
      <c r="L168" s="171">
        <f t="shared" si="52"/>
        <v>26.717486226895179</v>
      </c>
      <c r="M168" s="60"/>
    </row>
    <row r="169" spans="1:15" x14ac:dyDescent="0.2">
      <c r="A169" s="60"/>
      <c r="B169" s="12"/>
      <c r="C169" s="75">
        <v>355.6</v>
      </c>
      <c r="D169" s="74" t="s">
        <v>116</v>
      </c>
      <c r="E169" s="65">
        <v>50</v>
      </c>
      <c r="F169" s="158">
        <v>4</v>
      </c>
      <c r="G169" s="159">
        <f>($C$169+E169+E169+4)*PI()+($C$169+E169+E169+8)*PI()+($C$169+E169+E169+12)*PI()+($C$169+E169+E169+16)*PI()</f>
        <v>5850.9021580456319</v>
      </c>
      <c r="H169" s="72">
        <f t="shared" si="53"/>
        <v>1.7091381345779135</v>
      </c>
      <c r="I169" s="211">
        <v>49</v>
      </c>
      <c r="J169" s="171">
        <f t="shared" si="45"/>
        <v>28.669420574423597</v>
      </c>
      <c r="K169" s="66">
        <f t="shared" si="54"/>
        <v>0</v>
      </c>
      <c r="L169" s="171">
        <f t="shared" si="46"/>
        <v>28.669420574423597</v>
      </c>
      <c r="M169" s="60"/>
    </row>
    <row r="171" spans="1:15" ht="26.25" customHeight="1" x14ac:dyDescent="0.2">
      <c r="A171" s="60"/>
      <c r="B171" s="238" t="s">
        <v>118</v>
      </c>
      <c r="C171" s="239"/>
      <c r="D171" s="239"/>
      <c r="E171" s="239"/>
      <c r="F171" s="239"/>
      <c r="G171" s="239"/>
      <c r="H171" s="239"/>
      <c r="I171" s="239"/>
      <c r="J171" s="239"/>
      <c r="K171" s="239"/>
      <c r="L171" s="240"/>
      <c r="M171" s="35"/>
      <c r="N171" s="35"/>
      <c r="O171" s="60"/>
    </row>
    <row r="172" spans="1:15" ht="38.25" x14ac:dyDescent="0.2">
      <c r="A172" s="60"/>
      <c r="B172" s="162" t="s">
        <v>99</v>
      </c>
      <c r="C172" s="162" t="s">
        <v>100</v>
      </c>
      <c r="D172" s="162" t="s">
        <v>115</v>
      </c>
      <c r="E172" s="162" t="s">
        <v>101</v>
      </c>
      <c r="F172" s="162" t="s">
        <v>102</v>
      </c>
      <c r="G172" s="162" t="s">
        <v>103</v>
      </c>
      <c r="H172" s="162" t="s">
        <v>104</v>
      </c>
      <c r="I172" s="162" t="s">
        <v>105</v>
      </c>
      <c r="J172" s="162" t="s">
        <v>106</v>
      </c>
      <c r="K172" s="162" t="s">
        <v>95</v>
      </c>
      <c r="L172" s="162" t="s">
        <v>107</v>
      </c>
      <c r="M172" s="60"/>
    </row>
    <row r="173" spans="1:15" x14ac:dyDescent="0.2">
      <c r="A173" s="60"/>
      <c r="B173" s="11"/>
      <c r="C173" s="235">
        <v>6.35</v>
      </c>
      <c r="D173" s="74" t="s">
        <v>119</v>
      </c>
      <c r="E173" s="65">
        <v>9</v>
      </c>
      <c r="F173" s="158">
        <v>1</v>
      </c>
      <c r="G173" s="159">
        <f>($C$173+E173+E173+4)*PI()</f>
        <v>89.064151729270634</v>
      </c>
      <c r="H173" s="72">
        <f>10000/G173</f>
        <v>112.2786194651819</v>
      </c>
      <c r="I173" s="211">
        <v>49</v>
      </c>
      <c r="J173" s="171">
        <f t="shared" ref="J173:J262" si="59">I173/H173</f>
        <v>0.43641434347342611</v>
      </c>
      <c r="K173" s="10">
        <v>0</v>
      </c>
      <c r="L173" s="171">
        <f t="shared" ref="L173:L262" si="60">J173*(1-K173)</f>
        <v>0.43641434347342611</v>
      </c>
      <c r="M173" s="60"/>
    </row>
    <row r="174" spans="1:15" x14ac:dyDescent="0.2">
      <c r="A174" s="60"/>
      <c r="B174" s="11"/>
      <c r="C174" s="236"/>
      <c r="D174" s="74" t="s">
        <v>119</v>
      </c>
      <c r="E174" s="65">
        <v>10</v>
      </c>
      <c r="F174" s="158">
        <v>2</v>
      </c>
      <c r="G174" s="159">
        <f>($C$173+E174+E174+4)*PI()+($C$173+E174+E174+8)*PI()</f>
        <v>203.26104468725964</v>
      </c>
      <c r="H174" s="72">
        <f t="shared" ref="H174:H262" si="61">10000/G174</f>
        <v>49.197818575547238</v>
      </c>
      <c r="I174" s="211">
        <v>49</v>
      </c>
      <c r="J174" s="171">
        <f t="shared" si="59"/>
        <v>0.9959791189675723</v>
      </c>
      <c r="K174" s="66">
        <f>$K$173</f>
        <v>0</v>
      </c>
      <c r="L174" s="171">
        <f t="shared" si="60"/>
        <v>0.9959791189675723</v>
      </c>
      <c r="M174" s="60"/>
    </row>
    <row r="175" spans="1:15" x14ac:dyDescent="0.2">
      <c r="A175" s="60"/>
      <c r="B175" s="11"/>
      <c r="C175" s="236"/>
      <c r="D175" s="74" t="s">
        <v>119</v>
      </c>
      <c r="E175" s="65">
        <v>13</v>
      </c>
      <c r="F175" s="158">
        <v>2</v>
      </c>
      <c r="G175" s="159">
        <f>($C$173+E175+E175+4)*PI()+($C$173+E175+E175+8)*PI()</f>
        <v>240.96015653033714</v>
      </c>
      <c r="H175" s="72">
        <f t="shared" si="61"/>
        <v>41.500637051341677</v>
      </c>
      <c r="I175" s="211">
        <v>49</v>
      </c>
      <c r="J175" s="171">
        <f t="shared" si="59"/>
        <v>1.1807047669986521</v>
      </c>
      <c r="K175" s="66">
        <f t="shared" ref="K175:K262" si="62">$K$173</f>
        <v>0</v>
      </c>
      <c r="L175" s="171">
        <f t="shared" si="60"/>
        <v>1.1807047669986521</v>
      </c>
      <c r="M175" s="60"/>
    </row>
    <row r="176" spans="1:15" x14ac:dyDescent="0.2">
      <c r="A176" s="60"/>
      <c r="B176" s="11"/>
      <c r="C176" s="236"/>
      <c r="D176" s="74" t="s">
        <v>119</v>
      </c>
      <c r="E176" s="65">
        <v>16</v>
      </c>
      <c r="F176" s="158">
        <v>2</v>
      </c>
      <c r="G176" s="159">
        <f>($C$173+E176+E176+4)*PI()+($C$173+E176+E176+8)*PI()</f>
        <v>278.65926837341465</v>
      </c>
      <c r="H176" s="72">
        <f t="shared" si="61"/>
        <v>35.8861202011038</v>
      </c>
      <c r="I176" s="211">
        <v>49</v>
      </c>
      <c r="J176" s="171">
        <f t="shared" si="59"/>
        <v>1.3654304150297316</v>
      </c>
      <c r="K176" s="66">
        <f t="shared" si="62"/>
        <v>0</v>
      </c>
      <c r="L176" s="171">
        <f t="shared" si="60"/>
        <v>1.3654304150297316</v>
      </c>
      <c r="M176" s="60"/>
    </row>
    <row r="177" spans="1:13" x14ac:dyDescent="0.2">
      <c r="A177" s="60"/>
      <c r="B177" s="11"/>
      <c r="C177" s="236"/>
      <c r="D177" s="74" t="s">
        <v>119</v>
      </c>
      <c r="E177" s="65">
        <v>19</v>
      </c>
      <c r="F177" s="158">
        <v>2</v>
      </c>
      <c r="G177" s="159">
        <f>($C$173+E177+E177+4)*PI()+($C$173+E177+E177+8)*PI()</f>
        <v>316.35838021649215</v>
      </c>
      <c r="H177" s="72">
        <f t="shared" si="61"/>
        <v>31.609720574358558</v>
      </c>
      <c r="I177" s="211">
        <v>49</v>
      </c>
      <c r="J177" s="171">
        <f t="shared" si="59"/>
        <v>1.5501560630608116</v>
      </c>
      <c r="K177" s="66">
        <f t="shared" si="62"/>
        <v>0</v>
      </c>
      <c r="L177" s="171">
        <f t="shared" si="60"/>
        <v>1.5501560630608116</v>
      </c>
      <c r="M177" s="60"/>
    </row>
    <row r="178" spans="1:13" x14ac:dyDescent="0.2">
      <c r="A178" s="60"/>
      <c r="B178" s="11"/>
      <c r="C178" s="236"/>
      <c r="D178" s="74" t="s">
        <v>119</v>
      </c>
      <c r="E178" s="65">
        <v>25</v>
      </c>
      <c r="F178" s="158">
        <v>3</v>
      </c>
      <c r="G178" s="159">
        <f>($C$173+E178+E178+4)*PI()+($C$173+E178+E178+8)*PI()+($C$173+E178+E178+12)*PI()</f>
        <v>606.48446177550954</v>
      </c>
      <c r="H178" s="72">
        <f t="shared" si="61"/>
        <v>16.488468592788951</v>
      </c>
      <c r="I178" s="211">
        <v>49</v>
      </c>
      <c r="J178" s="171">
        <f t="shared" si="59"/>
        <v>2.9717738626999965</v>
      </c>
      <c r="K178" s="66">
        <f t="shared" si="62"/>
        <v>0</v>
      </c>
      <c r="L178" s="171">
        <f t="shared" si="60"/>
        <v>2.9717738626999965</v>
      </c>
      <c r="M178" s="60"/>
    </row>
    <row r="179" spans="1:13" x14ac:dyDescent="0.2">
      <c r="A179" s="60"/>
      <c r="B179" s="11"/>
      <c r="C179" s="236"/>
      <c r="D179" s="74" t="s">
        <v>119</v>
      </c>
      <c r="E179" s="65">
        <v>32</v>
      </c>
      <c r="F179" s="158">
        <v>3</v>
      </c>
      <c r="G179" s="159">
        <f>($C$173+E179+E179+4)*PI()+($C$173+E179+E179+8)*PI()+($C$173+E179+E179+12)*PI()</f>
        <v>738.43135322628086</v>
      </c>
      <c r="H179" s="72">
        <f t="shared" si="61"/>
        <v>13.5422202162855</v>
      </c>
      <c r="I179" s="211">
        <v>49</v>
      </c>
      <c r="J179" s="171">
        <f t="shared" si="59"/>
        <v>3.6183136308087764</v>
      </c>
      <c r="K179" s="66">
        <f t="shared" si="62"/>
        <v>0</v>
      </c>
      <c r="L179" s="171">
        <f t="shared" si="60"/>
        <v>3.6183136308087764</v>
      </c>
      <c r="M179" s="60"/>
    </row>
    <row r="180" spans="1:13" x14ac:dyDescent="0.2">
      <c r="A180" s="60"/>
      <c r="B180" s="11"/>
      <c r="C180" s="236"/>
      <c r="D180" s="74" t="s">
        <v>119</v>
      </c>
      <c r="E180" s="65">
        <v>40</v>
      </c>
      <c r="F180" s="158">
        <v>4</v>
      </c>
      <c r="G180" s="159">
        <f>($C$173+E180+E180+4)*PI()+($C$173+E180+E180+8)*PI()+($C$173+E180+E180+12)*PI()+($C$173+E180+E180+16)*PI()</f>
        <v>1210.7698086935061</v>
      </c>
      <c r="H180" s="72">
        <f t="shared" si="61"/>
        <v>8.2592082559364481</v>
      </c>
      <c r="I180" s="211">
        <v>49</v>
      </c>
      <c r="J180" s="171">
        <f t="shared" si="59"/>
        <v>5.9327720625981799</v>
      </c>
      <c r="K180" s="66">
        <f t="shared" si="62"/>
        <v>0</v>
      </c>
      <c r="L180" s="171">
        <f t="shared" si="60"/>
        <v>5.9327720625981799</v>
      </c>
      <c r="M180" s="60"/>
    </row>
    <row r="181" spans="1:13" x14ac:dyDescent="0.2">
      <c r="A181" s="60"/>
      <c r="B181" s="11"/>
      <c r="C181" s="236"/>
      <c r="D181" s="74" t="s">
        <v>119</v>
      </c>
      <c r="E181" s="65">
        <v>50</v>
      </c>
      <c r="F181" s="158">
        <v>4</v>
      </c>
      <c r="G181" s="159">
        <f>($C$173+E181+E181+4)*PI()+($C$173+E181+E181+8)*PI()+($C$173+E181+E181+12)*PI()+($C$173+E181+E181+16)*PI()</f>
        <v>1462.0972209806896</v>
      </c>
      <c r="H181" s="72">
        <f t="shared" si="61"/>
        <v>6.8394904637686018</v>
      </c>
      <c r="I181" s="211">
        <v>49</v>
      </c>
      <c r="J181" s="171">
        <f t="shared" si="59"/>
        <v>7.1642763828053786</v>
      </c>
      <c r="K181" s="66">
        <f t="shared" si="62"/>
        <v>0</v>
      </c>
      <c r="L181" s="171">
        <f t="shared" si="60"/>
        <v>7.1642763828053786</v>
      </c>
      <c r="M181" s="60"/>
    </row>
    <row r="182" spans="1:13" x14ac:dyDescent="0.2">
      <c r="A182" s="60"/>
      <c r="B182" s="11"/>
      <c r="C182" s="235">
        <v>9.52</v>
      </c>
      <c r="D182" s="74" t="s">
        <v>119</v>
      </c>
      <c r="E182" s="65">
        <v>9</v>
      </c>
      <c r="F182" s="158">
        <v>1</v>
      </c>
      <c r="G182" s="159">
        <f>($C$182+E182+E182+4)*PI()</f>
        <v>99.023000441150273</v>
      </c>
      <c r="H182" s="72">
        <f t="shared" si="61"/>
        <v>100.9866390177001</v>
      </c>
      <c r="I182" s="211">
        <v>49</v>
      </c>
      <c r="J182" s="171">
        <f t="shared" si="59"/>
        <v>0.48521270216163631</v>
      </c>
      <c r="K182" s="66">
        <f t="shared" si="62"/>
        <v>0</v>
      </c>
      <c r="L182" s="171">
        <f t="shared" si="60"/>
        <v>0.48521270216163631</v>
      </c>
      <c r="M182" s="60"/>
    </row>
    <row r="183" spans="1:13" x14ac:dyDescent="0.2">
      <c r="A183" s="60"/>
      <c r="B183" s="11"/>
      <c r="C183" s="236"/>
      <c r="D183" s="74" t="s">
        <v>119</v>
      </c>
      <c r="E183" s="65">
        <v>10</v>
      </c>
      <c r="F183" s="158">
        <v>2</v>
      </c>
      <c r="G183" s="159">
        <f>($C$182+E183+E183+4)*PI()+($C$182+E183+E183+8)*PI()</f>
        <v>223.17874211101889</v>
      </c>
      <c r="H183" s="72">
        <f t="shared" si="61"/>
        <v>44.807134879475043</v>
      </c>
      <c r="I183" s="211">
        <v>49</v>
      </c>
      <c r="J183" s="171">
        <f t="shared" si="59"/>
        <v>1.0935758363439925</v>
      </c>
      <c r="K183" s="66">
        <f t="shared" si="62"/>
        <v>0</v>
      </c>
      <c r="L183" s="171">
        <f t="shared" si="60"/>
        <v>1.0935758363439925</v>
      </c>
      <c r="M183" s="60"/>
    </row>
    <row r="184" spans="1:13" x14ac:dyDescent="0.2">
      <c r="A184" s="60"/>
      <c r="B184" s="11"/>
      <c r="C184" s="236"/>
      <c r="D184" s="74" t="s">
        <v>119</v>
      </c>
      <c r="E184" s="65">
        <v>13</v>
      </c>
      <c r="F184" s="158">
        <v>2</v>
      </c>
      <c r="G184" s="159">
        <f t="shared" ref="G184:G186" si="63">($C$182+E184+E184+4)*PI()+($C$182+E184+E184+8)*PI()</f>
        <v>260.87785395409639</v>
      </c>
      <c r="H184" s="72">
        <f t="shared" si="61"/>
        <v>38.332115388221425</v>
      </c>
      <c r="I184" s="211">
        <v>49</v>
      </c>
      <c r="J184" s="171">
        <f t="shared" si="59"/>
        <v>1.2783014843750724</v>
      </c>
      <c r="K184" s="66">
        <f t="shared" si="62"/>
        <v>0</v>
      </c>
      <c r="L184" s="171">
        <f t="shared" si="60"/>
        <v>1.2783014843750724</v>
      </c>
      <c r="M184" s="60"/>
    </row>
    <row r="185" spans="1:13" x14ac:dyDescent="0.2">
      <c r="A185" s="60"/>
      <c r="B185" s="11"/>
      <c r="C185" s="236"/>
      <c r="D185" s="74" t="s">
        <v>119</v>
      </c>
      <c r="E185" s="65">
        <v>16</v>
      </c>
      <c r="F185" s="158">
        <v>2</v>
      </c>
      <c r="G185" s="159">
        <f t="shared" si="63"/>
        <v>298.5769657971739</v>
      </c>
      <c r="H185" s="72">
        <f t="shared" si="61"/>
        <v>33.492201829102562</v>
      </c>
      <c r="I185" s="211">
        <v>49</v>
      </c>
      <c r="J185" s="171">
        <f t="shared" si="59"/>
        <v>1.4630271324061519</v>
      </c>
      <c r="K185" s="66">
        <f t="shared" si="62"/>
        <v>0</v>
      </c>
      <c r="L185" s="171">
        <f t="shared" si="60"/>
        <v>1.4630271324061519</v>
      </c>
      <c r="M185" s="60"/>
    </row>
    <row r="186" spans="1:13" x14ac:dyDescent="0.2">
      <c r="A186" s="60"/>
      <c r="B186" s="11"/>
      <c r="C186" s="236"/>
      <c r="D186" s="74" t="s">
        <v>119</v>
      </c>
      <c r="E186" s="65">
        <v>19</v>
      </c>
      <c r="F186" s="158">
        <v>2</v>
      </c>
      <c r="G186" s="159">
        <f t="shared" si="63"/>
        <v>336.2760776402514</v>
      </c>
      <c r="H186" s="72">
        <f t="shared" si="61"/>
        <v>29.737470682342185</v>
      </c>
      <c r="I186" s="211">
        <v>49</v>
      </c>
      <c r="J186" s="171">
        <f t="shared" si="59"/>
        <v>1.6477527804372318</v>
      </c>
      <c r="K186" s="66">
        <f t="shared" si="62"/>
        <v>0</v>
      </c>
      <c r="L186" s="171">
        <f t="shared" si="60"/>
        <v>1.6477527804372318</v>
      </c>
      <c r="M186" s="60"/>
    </row>
    <row r="187" spans="1:13" x14ac:dyDescent="0.2">
      <c r="A187" s="60"/>
      <c r="B187" s="11"/>
      <c r="C187" s="236"/>
      <c r="D187" s="74" t="s">
        <v>119</v>
      </c>
      <c r="E187" s="65">
        <v>25</v>
      </c>
      <c r="F187" s="158">
        <v>3</v>
      </c>
      <c r="G187" s="159">
        <f>($C$182+E187+E187+4)*PI()+($C$182+E187+E187+8)*PI()+($C$182+E187+E187+12)*PI()</f>
        <v>636.36100791114848</v>
      </c>
      <c r="H187" s="72">
        <f t="shared" si="61"/>
        <v>15.714350621237692</v>
      </c>
      <c r="I187" s="211">
        <v>49</v>
      </c>
      <c r="J187" s="171">
        <f t="shared" si="59"/>
        <v>3.1181689387646276</v>
      </c>
      <c r="K187" s="66">
        <f t="shared" si="62"/>
        <v>0</v>
      </c>
      <c r="L187" s="171">
        <f t="shared" si="60"/>
        <v>3.1181689387646276</v>
      </c>
      <c r="M187" s="60"/>
    </row>
    <row r="188" spans="1:13" x14ac:dyDescent="0.2">
      <c r="A188" s="60"/>
      <c r="B188" s="11"/>
      <c r="C188" s="236"/>
      <c r="D188" s="74" t="s">
        <v>119</v>
      </c>
      <c r="E188" s="65">
        <v>32</v>
      </c>
      <c r="F188" s="158">
        <v>3</v>
      </c>
      <c r="G188" s="159">
        <f>($C$182+E188+E188+4)*PI()+($C$182+E188+E188+8)*PI()+($C$182+E188+E188+12)*PI()</f>
        <v>768.30789936191979</v>
      </c>
      <c r="H188" s="72">
        <f t="shared" si="61"/>
        <v>13.01561523486223</v>
      </c>
      <c r="I188" s="211">
        <v>49</v>
      </c>
      <c r="J188" s="171">
        <f t="shared" si="59"/>
        <v>3.7647087068734071</v>
      </c>
      <c r="K188" s="66">
        <f t="shared" si="62"/>
        <v>0</v>
      </c>
      <c r="L188" s="171">
        <f t="shared" si="60"/>
        <v>3.7647087068734071</v>
      </c>
      <c r="M188" s="60"/>
    </row>
    <row r="189" spans="1:13" x14ac:dyDescent="0.2">
      <c r="A189" s="60"/>
      <c r="B189" s="11"/>
      <c r="C189" s="236"/>
      <c r="D189" s="74" t="s">
        <v>119</v>
      </c>
      <c r="E189" s="65">
        <v>40</v>
      </c>
      <c r="F189" s="158">
        <v>4</v>
      </c>
      <c r="G189" s="159">
        <f>($C$182+E189+E189+4)*PI()+($C$182+E189+E189+8)*PI()+($C$182+E189+E189+12)*PI()+($C$182+E189+E189+16)*PI()</f>
        <v>1250.6052035410248</v>
      </c>
      <c r="H189" s="72">
        <f t="shared" si="61"/>
        <v>7.9961285717391153</v>
      </c>
      <c r="I189" s="211">
        <v>49</v>
      </c>
      <c r="J189" s="171">
        <f t="shared" si="59"/>
        <v>6.1279654973510214</v>
      </c>
      <c r="K189" s="66">
        <f t="shared" si="62"/>
        <v>0</v>
      </c>
      <c r="L189" s="171">
        <f t="shared" si="60"/>
        <v>6.1279654973510214</v>
      </c>
      <c r="M189" s="60"/>
    </row>
    <row r="190" spans="1:13" x14ac:dyDescent="0.2">
      <c r="A190" s="60"/>
      <c r="B190" s="11"/>
      <c r="C190" s="236"/>
      <c r="D190" s="74" t="s">
        <v>119</v>
      </c>
      <c r="E190" s="65">
        <v>50</v>
      </c>
      <c r="F190" s="158">
        <v>4</v>
      </c>
      <c r="G190" s="159">
        <f>($C$182+E190+E190+4)*PI()+($C$182+E190+E190+8)*PI()+($C$182+E190+E190+12)*PI()+($C$182+E190+E190+16)*PI()</f>
        <v>1501.9326158282083</v>
      </c>
      <c r="H190" s="72">
        <f t="shared" si="61"/>
        <v>6.6580883154240018</v>
      </c>
      <c r="I190" s="211">
        <v>49</v>
      </c>
      <c r="J190" s="171">
        <f t="shared" si="59"/>
        <v>7.3594698175582209</v>
      </c>
      <c r="K190" s="66">
        <f t="shared" si="62"/>
        <v>0</v>
      </c>
      <c r="L190" s="171">
        <f t="shared" si="60"/>
        <v>7.3594698175582209</v>
      </c>
      <c r="M190" s="60"/>
    </row>
    <row r="191" spans="1:13" x14ac:dyDescent="0.2">
      <c r="A191" s="60"/>
      <c r="B191" s="11"/>
      <c r="C191" s="235">
        <v>12.7</v>
      </c>
      <c r="D191" s="74" t="s">
        <v>119</v>
      </c>
      <c r="E191" s="65">
        <v>9</v>
      </c>
      <c r="F191" s="158">
        <v>1</v>
      </c>
      <c r="G191" s="159">
        <f>($C$191+E191+E191+4)*PI()</f>
        <v>109.01326507956583</v>
      </c>
      <c r="H191" s="72">
        <f t="shared" ref="H191:H199" si="64">10000/G191</f>
        <v>91.731955672562151</v>
      </c>
      <c r="I191" s="211">
        <v>49</v>
      </c>
      <c r="J191" s="171">
        <f t="shared" ref="J191:J199" si="65">I191/H191</f>
        <v>0.53416499888987257</v>
      </c>
      <c r="K191" s="66">
        <f t="shared" si="62"/>
        <v>0</v>
      </c>
      <c r="L191" s="171">
        <f t="shared" ref="L191:L199" si="66">J191*(1-K191)</f>
        <v>0.53416499888987257</v>
      </c>
      <c r="M191" s="60"/>
    </row>
    <row r="192" spans="1:13" x14ac:dyDescent="0.2">
      <c r="A192" s="60"/>
      <c r="B192" s="11"/>
      <c r="C192" s="236"/>
      <c r="D192" s="74" t="s">
        <v>119</v>
      </c>
      <c r="E192" s="65">
        <v>10</v>
      </c>
      <c r="F192" s="158">
        <v>2</v>
      </c>
      <c r="G192" s="159">
        <f>($C$191+E192+E192+4)*PI()+($C$191+E192+E192+8)*PI()</f>
        <v>243.15927138785003</v>
      </c>
      <c r="H192" s="72">
        <f t="shared" si="64"/>
        <v>41.12530829247941</v>
      </c>
      <c r="I192" s="211">
        <v>49</v>
      </c>
      <c r="J192" s="171">
        <f t="shared" si="65"/>
        <v>1.1914804298004651</v>
      </c>
      <c r="K192" s="66">
        <f t="shared" si="62"/>
        <v>0</v>
      </c>
      <c r="L192" s="171">
        <f t="shared" si="66"/>
        <v>1.1914804298004651</v>
      </c>
      <c r="M192" s="60"/>
    </row>
    <row r="193" spans="1:13" x14ac:dyDescent="0.2">
      <c r="A193" s="60"/>
      <c r="B193" s="11"/>
      <c r="C193" s="236"/>
      <c r="D193" s="74" t="s">
        <v>119</v>
      </c>
      <c r="E193" s="65">
        <v>13</v>
      </c>
      <c r="F193" s="158">
        <v>2</v>
      </c>
      <c r="G193" s="159">
        <f t="shared" ref="G193:G195" si="67">($C$191+E193+E193+4)*PI()+($C$191+E193+E193+8)*PI()</f>
        <v>280.85838323092753</v>
      </c>
      <c r="H193" s="72">
        <f t="shared" si="64"/>
        <v>35.605132682750636</v>
      </c>
      <c r="I193" s="211">
        <v>49</v>
      </c>
      <c r="J193" s="171">
        <f t="shared" si="65"/>
        <v>1.3762060778315448</v>
      </c>
      <c r="K193" s="66">
        <f t="shared" si="62"/>
        <v>0</v>
      </c>
      <c r="L193" s="171">
        <f t="shared" si="66"/>
        <v>1.3762060778315448</v>
      </c>
      <c r="M193" s="60"/>
    </row>
    <row r="194" spans="1:13" x14ac:dyDescent="0.2">
      <c r="A194" s="60"/>
      <c r="B194" s="11"/>
      <c r="C194" s="236"/>
      <c r="D194" s="74" t="s">
        <v>119</v>
      </c>
      <c r="E194" s="65">
        <v>16</v>
      </c>
      <c r="F194" s="158">
        <v>2</v>
      </c>
      <c r="G194" s="159">
        <f t="shared" si="67"/>
        <v>318.55749507400503</v>
      </c>
      <c r="H194" s="72">
        <f t="shared" si="64"/>
        <v>31.391507513194348</v>
      </c>
      <c r="I194" s="211">
        <v>49</v>
      </c>
      <c r="J194" s="171">
        <f t="shared" si="65"/>
        <v>1.5609317258626245</v>
      </c>
      <c r="K194" s="66">
        <f t="shared" si="62"/>
        <v>0</v>
      </c>
      <c r="L194" s="171">
        <f t="shared" si="66"/>
        <v>1.5609317258626245</v>
      </c>
      <c r="M194" s="60"/>
    </row>
    <row r="195" spans="1:13" x14ac:dyDescent="0.2">
      <c r="A195" s="60"/>
      <c r="B195" s="11"/>
      <c r="C195" s="236"/>
      <c r="D195" s="74" t="s">
        <v>119</v>
      </c>
      <c r="E195" s="65">
        <v>19</v>
      </c>
      <c r="F195" s="158">
        <v>2</v>
      </c>
      <c r="G195" s="159">
        <f t="shared" si="67"/>
        <v>356.25660691708254</v>
      </c>
      <c r="H195" s="72">
        <f t="shared" si="64"/>
        <v>28.069654866295476</v>
      </c>
      <c r="I195" s="211">
        <v>49</v>
      </c>
      <c r="J195" s="171">
        <f t="shared" si="65"/>
        <v>1.7456573738937045</v>
      </c>
      <c r="K195" s="66">
        <f t="shared" si="62"/>
        <v>0</v>
      </c>
      <c r="L195" s="171">
        <f t="shared" si="66"/>
        <v>1.7456573738937045</v>
      </c>
      <c r="M195" s="60"/>
    </row>
    <row r="196" spans="1:13" x14ac:dyDescent="0.2">
      <c r="A196" s="60"/>
      <c r="B196" s="11"/>
      <c r="C196" s="236"/>
      <c r="D196" s="74" t="s">
        <v>119</v>
      </c>
      <c r="E196" s="65">
        <v>25</v>
      </c>
      <c r="F196" s="158">
        <v>3</v>
      </c>
      <c r="G196" s="159">
        <f>($C$191+E196+E196+4)*PI()+($C$191+E196+E196+8)*PI()+($C$191+E196+E196+12)*PI()</f>
        <v>666.33180182639512</v>
      </c>
      <c r="H196" s="72">
        <f t="shared" si="64"/>
        <v>15.007538245346096</v>
      </c>
      <c r="I196" s="211">
        <v>49</v>
      </c>
      <c r="J196" s="171">
        <f t="shared" si="65"/>
        <v>3.2650258289493359</v>
      </c>
      <c r="K196" s="66">
        <f t="shared" si="62"/>
        <v>0</v>
      </c>
      <c r="L196" s="171">
        <f t="shared" si="66"/>
        <v>3.2650258289493359</v>
      </c>
      <c r="M196" s="60"/>
    </row>
    <row r="197" spans="1:13" x14ac:dyDescent="0.2">
      <c r="A197" s="60"/>
      <c r="B197" s="11"/>
      <c r="C197" s="236"/>
      <c r="D197" s="74" t="s">
        <v>119</v>
      </c>
      <c r="E197" s="65">
        <v>32</v>
      </c>
      <c r="F197" s="158">
        <v>3</v>
      </c>
      <c r="G197" s="159">
        <f>($C$191+E197+E197+4)*PI()+($C$191+E197+E197+8)*PI()+($C$191+E197+E197+12)*PI()</f>
        <v>798.27869327716644</v>
      </c>
      <c r="H197" s="72">
        <f t="shared" si="64"/>
        <v>12.526953411404591</v>
      </c>
      <c r="I197" s="211">
        <v>49</v>
      </c>
      <c r="J197" s="171">
        <f t="shared" si="65"/>
        <v>3.9115655970581158</v>
      </c>
      <c r="K197" s="66">
        <f t="shared" si="62"/>
        <v>0</v>
      </c>
      <c r="L197" s="171">
        <f t="shared" si="66"/>
        <v>3.9115655970581158</v>
      </c>
      <c r="M197" s="60"/>
    </row>
    <row r="198" spans="1:13" x14ac:dyDescent="0.2">
      <c r="A198" s="60"/>
      <c r="B198" s="11"/>
      <c r="C198" s="236"/>
      <c r="D198" s="74" t="s">
        <v>119</v>
      </c>
      <c r="E198" s="65">
        <v>40</v>
      </c>
      <c r="F198" s="158">
        <v>4</v>
      </c>
      <c r="G198" s="159">
        <f>($C$191+E198+E198+4)*PI()+($C$191+E198+E198+8)*PI()+($C$191+E198+E198+12)*PI()+($C$191+E198+E198+16)*PI()</f>
        <v>1290.5662620946869</v>
      </c>
      <c r="H198" s="72">
        <f t="shared" si="64"/>
        <v>7.7485366646492384</v>
      </c>
      <c r="I198" s="211">
        <v>49</v>
      </c>
      <c r="J198" s="171">
        <f t="shared" si="65"/>
        <v>6.3237746842639657</v>
      </c>
      <c r="K198" s="66">
        <f t="shared" si="62"/>
        <v>0</v>
      </c>
      <c r="L198" s="171">
        <f t="shared" si="66"/>
        <v>6.3237746842639657</v>
      </c>
      <c r="M198" s="60"/>
    </row>
    <row r="199" spans="1:13" x14ac:dyDescent="0.2">
      <c r="A199" s="60"/>
      <c r="B199" s="11"/>
      <c r="C199" s="236"/>
      <c r="D199" s="74" t="s">
        <v>119</v>
      </c>
      <c r="E199" s="65">
        <v>50</v>
      </c>
      <c r="F199" s="158">
        <v>4</v>
      </c>
      <c r="G199" s="159">
        <f>($C$191+E199+E199+4)*PI()+($C$191+E199+E199+8)*PI()+($C$191+E199+E199+12)*PI()+($C$191+E199+E199+16)*PI()</f>
        <v>1541.8936743818704</v>
      </c>
      <c r="H199" s="72">
        <f t="shared" si="64"/>
        <v>6.485531503337219</v>
      </c>
      <c r="I199" s="211">
        <v>49</v>
      </c>
      <c r="J199" s="171">
        <f t="shared" si="65"/>
        <v>7.5552790044711644</v>
      </c>
      <c r="K199" s="66">
        <f t="shared" si="62"/>
        <v>0</v>
      </c>
      <c r="L199" s="171">
        <f t="shared" si="66"/>
        <v>7.5552790044711644</v>
      </c>
      <c r="M199" s="60"/>
    </row>
    <row r="200" spans="1:13" x14ac:dyDescent="0.2">
      <c r="A200" s="60"/>
      <c r="B200" s="11"/>
      <c r="C200" s="235">
        <v>15.9</v>
      </c>
      <c r="D200" s="74" t="s">
        <v>119</v>
      </c>
      <c r="E200" s="65">
        <v>9</v>
      </c>
      <c r="F200" s="158">
        <v>1</v>
      </c>
      <c r="G200" s="159">
        <f>($C$200+E200+E200+4)*PI()</f>
        <v>119.06636157105315</v>
      </c>
      <c r="H200" s="72">
        <f t="shared" si="61"/>
        <v>83.986777357200708</v>
      </c>
      <c r="I200" s="211">
        <v>49</v>
      </c>
      <c r="J200" s="171">
        <f t="shared" si="59"/>
        <v>0.58342517169816044</v>
      </c>
      <c r="K200" s="66">
        <f t="shared" si="62"/>
        <v>0</v>
      </c>
      <c r="L200" s="171">
        <f t="shared" si="60"/>
        <v>0.58342517169816044</v>
      </c>
      <c r="M200" s="60"/>
    </row>
    <row r="201" spans="1:13" x14ac:dyDescent="0.2">
      <c r="A201" s="60"/>
      <c r="B201" s="11"/>
      <c r="C201" s="236"/>
      <c r="D201" s="74" t="s">
        <v>119</v>
      </c>
      <c r="E201" s="65">
        <v>10</v>
      </c>
      <c r="F201" s="158">
        <v>2</v>
      </c>
      <c r="G201" s="159">
        <f>($C$200+E201+E201+4)*PI()+($C$200+E201+E201+8)*PI()</f>
        <v>263.26546437082465</v>
      </c>
      <c r="H201" s="72">
        <f t="shared" si="61"/>
        <v>37.984473291621804</v>
      </c>
      <c r="I201" s="211">
        <v>49</v>
      </c>
      <c r="J201" s="171">
        <f t="shared" si="59"/>
        <v>1.2900007754170408</v>
      </c>
      <c r="K201" s="66">
        <f t="shared" si="62"/>
        <v>0</v>
      </c>
      <c r="L201" s="171">
        <f t="shared" si="60"/>
        <v>1.2900007754170408</v>
      </c>
      <c r="M201" s="60"/>
    </row>
    <row r="202" spans="1:13" x14ac:dyDescent="0.2">
      <c r="A202" s="60"/>
      <c r="B202" s="11"/>
      <c r="C202" s="236"/>
      <c r="D202" s="74" t="s">
        <v>119</v>
      </c>
      <c r="E202" s="65">
        <v>13</v>
      </c>
      <c r="F202" s="158">
        <v>2</v>
      </c>
      <c r="G202" s="159">
        <f t="shared" ref="G202:G204" si="68">($C$200+E202+E202+4)*PI()+($C$200+E202+E202+8)*PI()</f>
        <v>300.96457621390221</v>
      </c>
      <c r="H202" s="72">
        <f t="shared" si="61"/>
        <v>33.226501689330966</v>
      </c>
      <c r="I202" s="211">
        <v>49</v>
      </c>
      <c r="J202" s="171">
        <f t="shared" si="59"/>
        <v>1.4747264234481208</v>
      </c>
      <c r="K202" s="66">
        <f t="shared" si="62"/>
        <v>0</v>
      </c>
      <c r="L202" s="171">
        <f t="shared" si="60"/>
        <v>1.4747264234481208</v>
      </c>
      <c r="M202" s="60"/>
    </row>
    <row r="203" spans="1:13" x14ac:dyDescent="0.2">
      <c r="A203" s="60"/>
      <c r="B203" s="11"/>
      <c r="C203" s="236"/>
      <c r="D203" s="74" t="s">
        <v>119</v>
      </c>
      <c r="E203" s="65">
        <v>16</v>
      </c>
      <c r="F203" s="158">
        <v>2</v>
      </c>
      <c r="G203" s="159">
        <f t="shared" si="68"/>
        <v>338.66368805697971</v>
      </c>
      <c r="H203" s="72">
        <f t="shared" si="61"/>
        <v>29.52781875545368</v>
      </c>
      <c r="I203" s="211">
        <v>49</v>
      </c>
      <c r="J203" s="171">
        <f t="shared" si="59"/>
        <v>1.6594520714792005</v>
      </c>
      <c r="K203" s="66">
        <f t="shared" si="62"/>
        <v>0</v>
      </c>
      <c r="L203" s="171">
        <f t="shared" si="60"/>
        <v>1.6594520714792005</v>
      </c>
      <c r="M203" s="60"/>
    </row>
    <row r="204" spans="1:13" x14ac:dyDescent="0.2">
      <c r="A204" s="60"/>
      <c r="B204" s="11"/>
      <c r="C204" s="236"/>
      <c r="D204" s="74" t="s">
        <v>119</v>
      </c>
      <c r="E204" s="65">
        <v>19</v>
      </c>
      <c r="F204" s="158">
        <v>2</v>
      </c>
      <c r="G204" s="159">
        <f t="shared" si="68"/>
        <v>376.36279990005721</v>
      </c>
      <c r="H204" s="72">
        <f t="shared" si="61"/>
        <v>26.570107360917419</v>
      </c>
      <c r="I204" s="211">
        <v>49</v>
      </c>
      <c r="J204" s="171">
        <f t="shared" si="59"/>
        <v>1.8441777195102804</v>
      </c>
      <c r="K204" s="66">
        <f t="shared" si="62"/>
        <v>0</v>
      </c>
      <c r="L204" s="171">
        <f t="shared" si="60"/>
        <v>1.8441777195102804</v>
      </c>
      <c r="M204" s="60"/>
    </row>
    <row r="205" spans="1:13" x14ac:dyDescent="0.2">
      <c r="A205" s="60"/>
      <c r="B205" s="11"/>
      <c r="C205" s="236"/>
      <c r="D205" s="74" t="s">
        <v>119</v>
      </c>
      <c r="E205" s="65">
        <v>25</v>
      </c>
      <c r="F205" s="158">
        <v>3</v>
      </c>
      <c r="G205" s="159">
        <f>($C$200+E205+E205+4)*PI()+($C$200+E205+E205+8)*PI()+($C$200+E205+E205+12)*PI()</f>
        <v>696.49109130085719</v>
      </c>
      <c r="H205" s="72">
        <f t="shared" si="61"/>
        <v>14.357685439052352</v>
      </c>
      <c r="I205" s="211">
        <v>49</v>
      </c>
      <c r="J205" s="171">
        <f t="shared" si="59"/>
        <v>3.4128063473742003</v>
      </c>
      <c r="K205" s="66">
        <f t="shared" si="62"/>
        <v>0</v>
      </c>
      <c r="L205" s="171">
        <f t="shared" si="60"/>
        <v>3.4128063473742003</v>
      </c>
      <c r="M205" s="60"/>
    </row>
    <row r="206" spans="1:13" x14ac:dyDescent="0.2">
      <c r="A206" s="60"/>
      <c r="B206" s="11"/>
      <c r="C206" s="236"/>
      <c r="D206" s="74" t="s">
        <v>119</v>
      </c>
      <c r="E206" s="65">
        <v>32</v>
      </c>
      <c r="F206" s="158">
        <v>3</v>
      </c>
      <c r="G206" s="159">
        <f>($C$200+E206+E206+4)*PI()+($C$200+E206+E206+8)*PI()+($C$200+E206+E206+12)*PI()</f>
        <v>828.4379827516284</v>
      </c>
      <c r="H206" s="72">
        <f t="shared" si="61"/>
        <v>12.070909601205564</v>
      </c>
      <c r="I206" s="211">
        <v>49</v>
      </c>
      <c r="J206" s="171">
        <f t="shared" si="59"/>
        <v>4.0593461154829793</v>
      </c>
      <c r="K206" s="66">
        <f t="shared" si="62"/>
        <v>0</v>
      </c>
      <c r="L206" s="171">
        <f t="shared" si="60"/>
        <v>4.0593461154829793</v>
      </c>
      <c r="M206" s="60"/>
    </row>
    <row r="207" spans="1:13" x14ac:dyDescent="0.2">
      <c r="A207" s="60"/>
      <c r="B207" s="11"/>
      <c r="C207" s="236"/>
      <c r="D207" s="74" t="s">
        <v>119</v>
      </c>
      <c r="E207" s="65">
        <v>40</v>
      </c>
      <c r="F207" s="158">
        <v>4</v>
      </c>
      <c r="G207" s="159">
        <f>($C$200+E207+E207+4)*PI()+($C$200+E207+E207+8)*PI()+($C$200+E207+E207+12)*PI()+($C$200+E207+E207+16)*PI()</f>
        <v>1330.7786480606364</v>
      </c>
      <c r="H207" s="72">
        <f t="shared" si="61"/>
        <v>7.5143976908354739</v>
      </c>
      <c r="I207" s="211">
        <v>49</v>
      </c>
      <c r="J207" s="171">
        <f t="shared" si="59"/>
        <v>6.5208153754971185</v>
      </c>
      <c r="K207" s="66">
        <f t="shared" si="62"/>
        <v>0</v>
      </c>
      <c r="L207" s="171">
        <f t="shared" si="60"/>
        <v>6.5208153754971185</v>
      </c>
      <c r="M207" s="60"/>
    </row>
    <row r="208" spans="1:13" x14ac:dyDescent="0.2">
      <c r="A208" s="60"/>
      <c r="B208" s="11"/>
      <c r="C208" s="236"/>
      <c r="D208" s="74" t="s">
        <v>119</v>
      </c>
      <c r="E208" s="65">
        <v>50</v>
      </c>
      <c r="F208" s="158">
        <v>4</v>
      </c>
      <c r="G208" s="159">
        <f>($C$200+E208+E208+4)*PI()+($C$200+E208+E208+8)*PI()+($C$200+E208+E208+12)*PI()+($C$200+E208+E208+16)*PI()</f>
        <v>1582.1060603478197</v>
      </c>
      <c r="H208" s="72">
        <f t="shared" si="61"/>
        <v>6.3206887645709031</v>
      </c>
      <c r="I208" s="211">
        <v>49</v>
      </c>
      <c r="J208" s="171">
        <f t="shared" si="59"/>
        <v>7.7523196957043172</v>
      </c>
      <c r="K208" s="66">
        <f t="shared" si="62"/>
        <v>0</v>
      </c>
      <c r="L208" s="171">
        <f t="shared" si="60"/>
        <v>7.7523196957043172</v>
      </c>
      <c r="M208" s="60"/>
    </row>
    <row r="209" spans="1:13" x14ac:dyDescent="0.2">
      <c r="A209" s="60"/>
      <c r="B209" s="11"/>
      <c r="C209" s="235">
        <v>19.05</v>
      </c>
      <c r="D209" s="74" t="s">
        <v>119</v>
      </c>
      <c r="E209" s="65">
        <v>9</v>
      </c>
      <c r="F209" s="158">
        <v>1</v>
      </c>
      <c r="G209" s="159">
        <f>($C$209+E209+E209+4)*PI()</f>
        <v>128.96237842986099</v>
      </c>
      <c r="H209" s="72">
        <f t="shared" ref="H209:H244" si="69">10000/G209</f>
        <v>77.541994198243785</v>
      </c>
      <c r="I209" s="211">
        <v>49</v>
      </c>
      <c r="J209" s="171">
        <f t="shared" ref="J209:J244" si="70">I209/H209</f>
        <v>0.6319156543063188</v>
      </c>
      <c r="K209" s="66">
        <f t="shared" si="62"/>
        <v>0</v>
      </c>
      <c r="L209" s="171">
        <f t="shared" ref="L209:L244" si="71">J209*(1-K209)</f>
        <v>0.6319156543063188</v>
      </c>
      <c r="M209" s="60"/>
    </row>
    <row r="210" spans="1:13" x14ac:dyDescent="0.2">
      <c r="A210" s="60"/>
      <c r="B210" s="11"/>
      <c r="C210" s="236"/>
      <c r="D210" s="74" t="s">
        <v>119</v>
      </c>
      <c r="E210" s="65">
        <v>10</v>
      </c>
      <c r="F210" s="158">
        <v>2</v>
      </c>
      <c r="G210" s="159">
        <f>($C$209+E210+E210+4)*PI()+($C$209+E210+E210+8)*PI()</f>
        <v>283.05749808844035</v>
      </c>
      <c r="H210" s="72">
        <f t="shared" si="69"/>
        <v>35.328511230165446</v>
      </c>
      <c r="I210" s="211">
        <v>49</v>
      </c>
      <c r="J210" s="171">
        <f t="shared" si="70"/>
        <v>1.3869817406333578</v>
      </c>
      <c r="K210" s="66">
        <f t="shared" si="62"/>
        <v>0</v>
      </c>
      <c r="L210" s="171">
        <f t="shared" si="71"/>
        <v>1.3869817406333578</v>
      </c>
      <c r="M210" s="60"/>
    </row>
    <row r="211" spans="1:13" x14ac:dyDescent="0.2">
      <c r="A211" s="60"/>
      <c r="B211" s="11"/>
      <c r="C211" s="236"/>
      <c r="D211" s="74" t="s">
        <v>119</v>
      </c>
      <c r="E211" s="65">
        <v>13</v>
      </c>
      <c r="F211" s="158">
        <v>2</v>
      </c>
      <c r="G211" s="159">
        <f t="shared" ref="G211:G213" si="72">($C$209+E211+E211+4)*PI()+($C$209+E211+E211+8)*PI()</f>
        <v>320.75660993151786</v>
      </c>
      <c r="H211" s="72">
        <f t="shared" si="69"/>
        <v>31.176286599783616</v>
      </c>
      <c r="I211" s="211">
        <v>49</v>
      </c>
      <c r="J211" s="171">
        <f t="shared" si="70"/>
        <v>1.5717073886644375</v>
      </c>
      <c r="K211" s="66">
        <f t="shared" si="62"/>
        <v>0</v>
      </c>
      <c r="L211" s="171">
        <f t="shared" si="71"/>
        <v>1.5717073886644375</v>
      </c>
      <c r="M211" s="60"/>
    </row>
    <row r="212" spans="1:13" x14ac:dyDescent="0.2">
      <c r="A212" s="60"/>
      <c r="B212" s="11"/>
      <c r="C212" s="236"/>
      <c r="D212" s="74" t="s">
        <v>119</v>
      </c>
      <c r="E212" s="65">
        <v>16</v>
      </c>
      <c r="F212" s="158">
        <v>2</v>
      </c>
      <c r="G212" s="159">
        <f t="shared" si="72"/>
        <v>358.45572177459542</v>
      </c>
      <c r="H212" s="72">
        <f t="shared" si="69"/>
        <v>27.897448394723106</v>
      </c>
      <c r="I212" s="211">
        <v>49</v>
      </c>
      <c r="J212" s="171">
        <f t="shared" si="70"/>
        <v>1.7564330366955176</v>
      </c>
      <c r="K212" s="66">
        <f t="shared" si="62"/>
        <v>0</v>
      </c>
      <c r="L212" s="171">
        <f t="shared" si="71"/>
        <v>1.7564330366955176</v>
      </c>
      <c r="M212" s="60"/>
    </row>
    <row r="213" spans="1:13" x14ac:dyDescent="0.2">
      <c r="A213" s="60"/>
      <c r="B213" s="11"/>
      <c r="C213" s="236"/>
      <c r="D213" s="74" t="s">
        <v>119</v>
      </c>
      <c r="E213" s="65">
        <v>19</v>
      </c>
      <c r="F213" s="158">
        <v>2</v>
      </c>
      <c r="G213" s="159">
        <f t="shared" si="72"/>
        <v>396.15483361767292</v>
      </c>
      <c r="H213" s="72">
        <f t="shared" si="69"/>
        <v>25.242655526073804</v>
      </c>
      <c r="I213" s="211">
        <v>49</v>
      </c>
      <c r="J213" s="171">
        <f t="shared" si="70"/>
        <v>1.9411586847265974</v>
      </c>
      <c r="K213" s="66">
        <f t="shared" si="62"/>
        <v>0</v>
      </c>
      <c r="L213" s="171">
        <f t="shared" si="71"/>
        <v>1.9411586847265974</v>
      </c>
      <c r="M213" s="60"/>
    </row>
    <row r="214" spans="1:13" x14ac:dyDescent="0.2">
      <c r="A214" s="60"/>
      <c r="B214" s="11"/>
      <c r="C214" s="236"/>
      <c r="D214" s="74" t="s">
        <v>119</v>
      </c>
      <c r="E214" s="65">
        <v>25</v>
      </c>
      <c r="F214" s="158">
        <v>3</v>
      </c>
      <c r="G214" s="159">
        <f>($C$209+E214+E214+4)*PI()+($C$209+E214+E214+8)*PI()+($C$209+E214+E214+12)*PI()</f>
        <v>726.1791418772807</v>
      </c>
      <c r="H214" s="72">
        <f t="shared" si="69"/>
        <v>13.770706735184541</v>
      </c>
      <c r="I214" s="211">
        <v>49</v>
      </c>
      <c r="J214" s="171">
        <f t="shared" si="70"/>
        <v>3.5582777951986753</v>
      </c>
      <c r="K214" s="66">
        <f t="shared" si="62"/>
        <v>0</v>
      </c>
      <c r="L214" s="171">
        <f t="shared" si="71"/>
        <v>3.5582777951986753</v>
      </c>
      <c r="M214" s="60"/>
    </row>
    <row r="215" spans="1:13" x14ac:dyDescent="0.2">
      <c r="A215" s="60"/>
      <c r="B215" s="11"/>
      <c r="C215" s="236"/>
      <c r="D215" s="74" t="s">
        <v>119</v>
      </c>
      <c r="E215" s="65">
        <v>32</v>
      </c>
      <c r="F215" s="158">
        <v>3</v>
      </c>
      <c r="G215" s="159">
        <f>($C$209+E215+E215+4)*PI()+($C$209+E215+E215+8)*PI()+($C$209+E215+E215+12)*PI()</f>
        <v>858.1260333280519</v>
      </c>
      <c r="H215" s="72">
        <f t="shared" si="69"/>
        <v>11.65329987859384</v>
      </c>
      <c r="I215" s="211">
        <v>49</v>
      </c>
      <c r="J215" s="171">
        <f t="shared" si="70"/>
        <v>4.2048175633074543</v>
      </c>
      <c r="K215" s="66">
        <f t="shared" si="62"/>
        <v>0</v>
      </c>
      <c r="L215" s="171">
        <f t="shared" si="71"/>
        <v>4.2048175633074543</v>
      </c>
      <c r="M215" s="60"/>
    </row>
    <row r="216" spans="1:13" x14ac:dyDescent="0.2">
      <c r="A216" s="60"/>
      <c r="B216" s="11"/>
      <c r="C216" s="236"/>
      <c r="D216" s="74" t="s">
        <v>119</v>
      </c>
      <c r="E216" s="65">
        <v>40</v>
      </c>
      <c r="F216" s="158">
        <v>4</v>
      </c>
      <c r="G216" s="159">
        <f>($C$209+E216+E216+4)*PI()+($C$209+E216+E216+8)*PI()+($C$209+E216+E216+12)*PI()+($C$209+E216+E216+16)*PI()</f>
        <v>1370.3627154958676</v>
      </c>
      <c r="H216" s="72">
        <f t="shared" si="69"/>
        <v>7.2973380601510938</v>
      </c>
      <c r="I216" s="211">
        <v>49</v>
      </c>
      <c r="J216" s="171">
        <f t="shared" si="70"/>
        <v>6.7147773059297515</v>
      </c>
      <c r="K216" s="66">
        <f t="shared" si="62"/>
        <v>0</v>
      </c>
      <c r="L216" s="171">
        <f t="shared" si="71"/>
        <v>6.7147773059297515</v>
      </c>
      <c r="M216" s="60"/>
    </row>
    <row r="217" spans="1:13" x14ac:dyDescent="0.2">
      <c r="A217" s="60"/>
      <c r="B217" s="11"/>
      <c r="C217" s="236"/>
      <c r="D217" s="74" t="s">
        <v>119</v>
      </c>
      <c r="E217" s="65">
        <v>50</v>
      </c>
      <c r="F217" s="158">
        <v>4</v>
      </c>
      <c r="G217" s="159">
        <f>($C$209+E217+E217+4)*PI()+($C$209+E217+E217+8)*PI()+($C$209+E217+E217+12)*PI()+($C$209+E217+E217+16)*PI()</f>
        <v>1621.6901277830511</v>
      </c>
      <c r="H217" s="72">
        <f t="shared" si="69"/>
        <v>6.1664061639633996</v>
      </c>
      <c r="I217" s="211">
        <v>49</v>
      </c>
      <c r="J217" s="171">
        <f t="shared" si="70"/>
        <v>7.9462816261369511</v>
      </c>
      <c r="K217" s="66">
        <f t="shared" si="62"/>
        <v>0</v>
      </c>
      <c r="L217" s="171">
        <f t="shared" si="71"/>
        <v>7.9462816261369511</v>
      </c>
      <c r="M217" s="60"/>
    </row>
    <row r="218" spans="1:13" x14ac:dyDescent="0.2">
      <c r="A218" s="60"/>
      <c r="B218" s="11"/>
      <c r="C218" s="235">
        <v>22</v>
      </c>
      <c r="D218" s="74" t="s">
        <v>119</v>
      </c>
      <c r="E218" s="65">
        <v>9</v>
      </c>
      <c r="F218" s="158">
        <v>1</v>
      </c>
      <c r="G218" s="163">
        <f>($C$218+E218+E218+4)*PI()</f>
        <v>138.23007675795088</v>
      </c>
      <c r="H218" s="72">
        <f t="shared" si="69"/>
        <v>72.343155950861529</v>
      </c>
      <c r="I218" s="211">
        <v>49</v>
      </c>
      <c r="J218" s="171">
        <f t="shared" si="70"/>
        <v>0.67732737611395932</v>
      </c>
      <c r="K218" s="66">
        <f t="shared" si="62"/>
        <v>0</v>
      </c>
      <c r="L218" s="171">
        <f t="shared" si="71"/>
        <v>0.67732737611395932</v>
      </c>
      <c r="M218" s="60"/>
    </row>
    <row r="219" spans="1:13" x14ac:dyDescent="0.2">
      <c r="A219" s="60"/>
      <c r="B219" s="11"/>
      <c r="C219" s="236"/>
      <c r="D219" s="74" t="s">
        <v>119</v>
      </c>
      <c r="E219" s="65">
        <v>10</v>
      </c>
      <c r="F219" s="158">
        <v>2</v>
      </c>
      <c r="G219" s="159">
        <f>($C$218+E219+E219+4)*PI()+($C$218+E219+E219+8)*PI()</f>
        <v>301.59289474462014</v>
      </c>
      <c r="H219" s="72">
        <f t="shared" si="69"/>
        <v>33.157279810811531</v>
      </c>
      <c r="I219" s="211">
        <v>49</v>
      </c>
      <c r="J219" s="171">
        <f t="shared" si="70"/>
        <v>1.4778051842486386</v>
      </c>
      <c r="K219" s="66">
        <f t="shared" si="62"/>
        <v>0</v>
      </c>
      <c r="L219" s="171">
        <f t="shared" si="71"/>
        <v>1.4778051842486386</v>
      </c>
      <c r="M219" s="60"/>
    </row>
    <row r="220" spans="1:13" x14ac:dyDescent="0.2">
      <c r="A220" s="60"/>
      <c r="B220" s="11"/>
      <c r="C220" s="236"/>
      <c r="D220" s="74" t="s">
        <v>119</v>
      </c>
      <c r="E220" s="65">
        <v>13</v>
      </c>
      <c r="F220" s="158">
        <v>2</v>
      </c>
      <c r="G220" s="159">
        <f t="shared" ref="G220:G222" si="73">($C$218+E220+E220+4)*PI()+($C$218+E220+E220+8)*PI()</f>
        <v>339.29200658769764</v>
      </c>
      <c r="H220" s="72">
        <f t="shared" si="69"/>
        <v>29.473137609610248</v>
      </c>
      <c r="I220" s="211">
        <v>49</v>
      </c>
      <c r="J220" s="171">
        <f t="shared" si="70"/>
        <v>1.6625308322797185</v>
      </c>
      <c r="K220" s="66">
        <f t="shared" si="62"/>
        <v>0</v>
      </c>
      <c r="L220" s="171">
        <f t="shared" si="71"/>
        <v>1.6625308322797185</v>
      </c>
      <c r="M220" s="60"/>
    </row>
    <row r="221" spans="1:13" x14ac:dyDescent="0.2">
      <c r="A221" s="60"/>
      <c r="B221" s="11"/>
      <c r="C221" s="236"/>
      <c r="D221" s="74" t="s">
        <v>119</v>
      </c>
      <c r="E221" s="65">
        <v>16</v>
      </c>
      <c r="F221" s="158">
        <v>2</v>
      </c>
      <c r="G221" s="159">
        <f t="shared" si="73"/>
        <v>376.99111843077515</v>
      </c>
      <c r="H221" s="72">
        <f t="shared" si="69"/>
        <v>26.525823848649225</v>
      </c>
      <c r="I221" s="211">
        <v>49</v>
      </c>
      <c r="J221" s="171">
        <f t="shared" si="70"/>
        <v>1.8472564803107983</v>
      </c>
      <c r="K221" s="66">
        <f t="shared" si="62"/>
        <v>0</v>
      </c>
      <c r="L221" s="171">
        <f t="shared" si="71"/>
        <v>1.8472564803107983</v>
      </c>
      <c r="M221" s="60"/>
    </row>
    <row r="222" spans="1:13" x14ac:dyDescent="0.2">
      <c r="A222" s="60"/>
      <c r="B222" s="11"/>
      <c r="C222" s="236"/>
      <c r="D222" s="74" t="s">
        <v>119</v>
      </c>
      <c r="E222" s="65">
        <v>19</v>
      </c>
      <c r="F222" s="158">
        <v>2</v>
      </c>
      <c r="G222" s="159">
        <f t="shared" si="73"/>
        <v>414.69023027385271</v>
      </c>
      <c r="H222" s="72">
        <f t="shared" si="69"/>
        <v>24.11438531695384</v>
      </c>
      <c r="I222" s="211">
        <v>49</v>
      </c>
      <c r="J222" s="171">
        <f t="shared" si="70"/>
        <v>2.0319821283418782</v>
      </c>
      <c r="K222" s="66">
        <f t="shared" si="62"/>
        <v>0</v>
      </c>
      <c r="L222" s="171">
        <f t="shared" si="71"/>
        <v>2.0319821283418782</v>
      </c>
      <c r="M222" s="60"/>
    </row>
    <row r="223" spans="1:13" x14ac:dyDescent="0.2">
      <c r="A223" s="60"/>
      <c r="B223" s="11"/>
      <c r="C223" s="236"/>
      <c r="D223" s="74" t="s">
        <v>119</v>
      </c>
      <c r="E223" s="65">
        <v>25</v>
      </c>
      <c r="F223" s="158">
        <v>3</v>
      </c>
      <c r="G223" s="159">
        <f>($C$218+E223+E223+4)*PI()+($C$218+E223+E223+8)*PI()+($C$218+E223+E223+12)*PI()</f>
        <v>753.98223686155029</v>
      </c>
      <c r="H223" s="72">
        <f t="shared" si="69"/>
        <v>13.262911924324612</v>
      </c>
      <c r="I223" s="211">
        <v>49</v>
      </c>
      <c r="J223" s="171">
        <f t="shared" si="70"/>
        <v>3.6945129606215965</v>
      </c>
      <c r="K223" s="66">
        <f t="shared" si="62"/>
        <v>0</v>
      </c>
      <c r="L223" s="171">
        <f t="shared" si="71"/>
        <v>3.6945129606215965</v>
      </c>
      <c r="M223" s="60"/>
    </row>
    <row r="224" spans="1:13" x14ac:dyDescent="0.2">
      <c r="A224" s="60"/>
      <c r="B224" s="11"/>
      <c r="C224" s="236"/>
      <c r="D224" s="74" t="s">
        <v>119</v>
      </c>
      <c r="E224" s="65">
        <v>32</v>
      </c>
      <c r="F224" s="158">
        <v>3</v>
      </c>
      <c r="G224" s="159">
        <f>($C$218+E224+E224+4)*PI()+($C$218+E224+E224+8)*PI()+($C$218+E224+E224+12)*PI()</f>
        <v>885.92912831232172</v>
      </c>
      <c r="H224" s="72">
        <f t="shared" si="69"/>
        <v>11.287584616446477</v>
      </c>
      <c r="I224" s="211">
        <v>49</v>
      </c>
      <c r="J224" s="171">
        <f t="shared" si="70"/>
        <v>4.3410527287303768</v>
      </c>
      <c r="K224" s="66">
        <f t="shared" si="62"/>
        <v>0</v>
      </c>
      <c r="L224" s="171">
        <f t="shared" si="71"/>
        <v>4.3410527287303768</v>
      </c>
      <c r="M224" s="60"/>
    </row>
    <row r="225" spans="1:13" x14ac:dyDescent="0.2">
      <c r="A225" s="60"/>
      <c r="B225" s="11"/>
      <c r="C225" s="236"/>
      <c r="D225" s="74" t="s">
        <v>119</v>
      </c>
      <c r="E225" s="65">
        <v>40</v>
      </c>
      <c r="F225" s="158">
        <v>4</v>
      </c>
      <c r="G225" s="159">
        <f>($C$218+E225+E225+4)*PI()+($C$218+E225+E225+8)*PI()+($C$218+E225+E225+12)*PI()+($C$218+E225+E225+16)*PI()</f>
        <v>1407.4335088082271</v>
      </c>
      <c r="H225" s="72">
        <f t="shared" si="69"/>
        <v>7.1051313880310429</v>
      </c>
      <c r="I225" s="211">
        <v>49</v>
      </c>
      <c r="J225" s="171">
        <f t="shared" si="70"/>
        <v>6.8964241931603132</v>
      </c>
      <c r="K225" s="66">
        <f t="shared" si="62"/>
        <v>0</v>
      </c>
      <c r="L225" s="171">
        <f t="shared" si="71"/>
        <v>6.8964241931603132</v>
      </c>
      <c r="M225" s="60"/>
    </row>
    <row r="226" spans="1:13" x14ac:dyDescent="0.2">
      <c r="A226" s="60"/>
      <c r="B226" s="11"/>
      <c r="C226" s="236"/>
      <c r="D226" s="74" t="s">
        <v>119</v>
      </c>
      <c r="E226" s="65">
        <v>50</v>
      </c>
      <c r="F226" s="158">
        <v>4</v>
      </c>
      <c r="G226" s="159">
        <f>($C$218+E226+E226+4)*PI()+($C$218+E226+E226+8)*PI()+($C$218+E226+E226+12)*PI()+($C$218+E226+E226+16)*PI()</f>
        <v>1658.7609210954106</v>
      </c>
      <c r="H226" s="72">
        <f t="shared" si="69"/>
        <v>6.0285963292384608</v>
      </c>
      <c r="I226" s="211">
        <v>49</v>
      </c>
      <c r="J226" s="171">
        <f t="shared" si="70"/>
        <v>8.127928513367511</v>
      </c>
      <c r="K226" s="66">
        <f t="shared" si="62"/>
        <v>0</v>
      </c>
      <c r="L226" s="171">
        <f t="shared" si="71"/>
        <v>8.127928513367511</v>
      </c>
      <c r="M226" s="60"/>
    </row>
    <row r="227" spans="1:13" x14ac:dyDescent="0.2">
      <c r="A227" s="60"/>
      <c r="B227" s="11"/>
      <c r="C227" s="235">
        <v>28</v>
      </c>
      <c r="D227" s="74" t="s">
        <v>119</v>
      </c>
      <c r="E227" s="65">
        <v>9</v>
      </c>
      <c r="F227" s="158">
        <v>1</v>
      </c>
      <c r="G227" s="159">
        <f>($C$227+E227+E227+4)*PI()</f>
        <v>157.07963267948966</v>
      </c>
      <c r="H227" s="72">
        <f t="shared" ref="H227:H235" si="74">10000/G227</f>
        <v>63.661977236758133</v>
      </c>
      <c r="I227" s="211">
        <v>49</v>
      </c>
      <c r="J227" s="171">
        <f t="shared" ref="J227:J235" si="75">I227/H227</f>
        <v>0.7696902001294994</v>
      </c>
      <c r="K227" s="66">
        <f t="shared" si="62"/>
        <v>0</v>
      </c>
      <c r="L227" s="171">
        <f t="shared" ref="L227:L235" si="76">J227*(1-K227)</f>
        <v>0.7696902001294994</v>
      </c>
      <c r="M227" s="60"/>
    </row>
    <row r="228" spans="1:13" x14ac:dyDescent="0.2">
      <c r="A228" s="60"/>
      <c r="B228" s="11"/>
      <c r="C228" s="236"/>
      <c r="D228" s="74" t="s">
        <v>119</v>
      </c>
      <c r="E228" s="65">
        <v>10</v>
      </c>
      <c r="F228" s="158">
        <v>2</v>
      </c>
      <c r="G228" s="159">
        <f>($C$227+E228+E228+4)*PI()+($C$227+E228+E228+8)*PI()</f>
        <v>339.29200658769764</v>
      </c>
      <c r="H228" s="72">
        <f t="shared" si="74"/>
        <v>29.473137609610248</v>
      </c>
      <c r="I228" s="211">
        <v>49</v>
      </c>
      <c r="J228" s="171">
        <f t="shared" si="75"/>
        <v>1.6625308322797185</v>
      </c>
      <c r="K228" s="66">
        <f t="shared" si="62"/>
        <v>0</v>
      </c>
      <c r="L228" s="171">
        <f t="shared" si="76"/>
        <v>1.6625308322797185</v>
      </c>
      <c r="M228" s="60"/>
    </row>
    <row r="229" spans="1:13" x14ac:dyDescent="0.2">
      <c r="A229" s="60"/>
      <c r="B229" s="11"/>
      <c r="C229" s="236"/>
      <c r="D229" s="74" t="s">
        <v>119</v>
      </c>
      <c r="E229" s="65">
        <v>13</v>
      </c>
      <c r="F229" s="158">
        <v>2</v>
      </c>
      <c r="G229" s="159">
        <f t="shared" ref="G229:G231" si="77">($C$227+E229+E229+4)*PI()+($C$227+E229+E229+8)*PI()</f>
        <v>376.99111843077515</v>
      </c>
      <c r="H229" s="72">
        <f t="shared" si="74"/>
        <v>26.525823848649225</v>
      </c>
      <c r="I229" s="211">
        <v>49</v>
      </c>
      <c r="J229" s="171">
        <f t="shared" si="75"/>
        <v>1.8472564803107983</v>
      </c>
      <c r="K229" s="66">
        <f t="shared" si="62"/>
        <v>0</v>
      </c>
      <c r="L229" s="171">
        <f t="shared" si="76"/>
        <v>1.8472564803107983</v>
      </c>
      <c r="M229" s="60"/>
    </row>
    <row r="230" spans="1:13" x14ac:dyDescent="0.2">
      <c r="A230" s="60"/>
      <c r="B230" s="11"/>
      <c r="C230" s="236"/>
      <c r="D230" s="74" t="s">
        <v>119</v>
      </c>
      <c r="E230" s="65">
        <v>16</v>
      </c>
      <c r="F230" s="158">
        <v>2</v>
      </c>
      <c r="G230" s="159">
        <f t="shared" si="77"/>
        <v>414.69023027385271</v>
      </c>
      <c r="H230" s="72">
        <f t="shared" si="74"/>
        <v>24.11438531695384</v>
      </c>
      <c r="I230" s="211">
        <v>49</v>
      </c>
      <c r="J230" s="171">
        <f t="shared" si="75"/>
        <v>2.0319821283418782</v>
      </c>
      <c r="K230" s="66">
        <f t="shared" si="62"/>
        <v>0</v>
      </c>
      <c r="L230" s="171">
        <f t="shared" si="76"/>
        <v>2.0319821283418782</v>
      </c>
      <c r="M230" s="60"/>
    </row>
    <row r="231" spans="1:13" x14ac:dyDescent="0.2">
      <c r="A231" s="60"/>
      <c r="B231" s="11"/>
      <c r="C231" s="236"/>
      <c r="D231" s="74" t="s">
        <v>119</v>
      </c>
      <c r="E231" s="65">
        <v>19</v>
      </c>
      <c r="F231" s="158">
        <v>2</v>
      </c>
      <c r="G231" s="159">
        <f t="shared" si="77"/>
        <v>452.38934211693021</v>
      </c>
      <c r="H231" s="72">
        <f t="shared" si="74"/>
        <v>22.104853207207686</v>
      </c>
      <c r="I231" s="211">
        <v>49</v>
      </c>
      <c r="J231" s="171">
        <f t="shared" si="75"/>
        <v>2.2167077763729579</v>
      </c>
      <c r="K231" s="66">
        <f t="shared" si="62"/>
        <v>0</v>
      </c>
      <c r="L231" s="171">
        <f t="shared" si="76"/>
        <v>2.2167077763729579</v>
      </c>
      <c r="M231" s="60"/>
    </row>
    <row r="232" spans="1:13" x14ac:dyDescent="0.2">
      <c r="A232" s="60"/>
      <c r="B232" s="11"/>
      <c r="C232" s="236"/>
      <c r="D232" s="74" t="s">
        <v>119</v>
      </c>
      <c r="E232" s="65">
        <v>25</v>
      </c>
      <c r="F232" s="158">
        <v>3</v>
      </c>
      <c r="G232" s="159">
        <f>($C$227+E232+E232+4)*PI()+($C$227+E232+E232+8)*PI()+($C$227+E232+E232+12)*PI()</f>
        <v>810.5309046261666</v>
      </c>
      <c r="H232" s="72">
        <f t="shared" si="74"/>
        <v>12.337592487743825</v>
      </c>
      <c r="I232" s="211">
        <v>49</v>
      </c>
      <c r="J232" s="171">
        <f t="shared" si="75"/>
        <v>3.9716014326682165</v>
      </c>
      <c r="K232" s="66">
        <f t="shared" si="62"/>
        <v>0</v>
      </c>
      <c r="L232" s="171">
        <f t="shared" si="76"/>
        <v>3.9716014326682165</v>
      </c>
      <c r="M232" s="60"/>
    </row>
    <row r="233" spans="1:13" x14ac:dyDescent="0.2">
      <c r="A233" s="60"/>
      <c r="B233" s="11"/>
      <c r="C233" s="236"/>
      <c r="D233" s="74" t="s">
        <v>119</v>
      </c>
      <c r="E233" s="65">
        <v>32</v>
      </c>
      <c r="F233" s="158">
        <v>3</v>
      </c>
      <c r="G233" s="159">
        <f>($C$227+E233+E233+4)*PI()+($C$227+E233+E233+8)*PI()+($C$227+E233+E233+12)*PI()</f>
        <v>942.47779607693792</v>
      </c>
      <c r="H233" s="72">
        <f t="shared" si="74"/>
        <v>10.610329539459689</v>
      </c>
      <c r="I233" s="211">
        <v>49</v>
      </c>
      <c r="J233" s="171">
        <f t="shared" si="75"/>
        <v>4.6181412007769955</v>
      </c>
      <c r="K233" s="66">
        <f t="shared" si="62"/>
        <v>0</v>
      </c>
      <c r="L233" s="171">
        <f t="shared" si="76"/>
        <v>4.6181412007769955</v>
      </c>
      <c r="M233" s="60"/>
    </row>
    <row r="234" spans="1:13" x14ac:dyDescent="0.2">
      <c r="A234" s="60"/>
      <c r="B234" s="11"/>
      <c r="C234" s="236"/>
      <c r="D234" s="74" t="s">
        <v>119</v>
      </c>
      <c r="E234" s="65">
        <v>40</v>
      </c>
      <c r="F234" s="158">
        <v>4</v>
      </c>
      <c r="G234" s="159">
        <f>($C$227+E234+E234+4)*PI()+($C$227+E234+E234+8)*PI()+($C$227+E234+E234+12)*PI()+($C$227+E234+E234+16)*PI()</f>
        <v>1482.8317324943823</v>
      </c>
      <c r="H234" s="72">
        <f t="shared" si="74"/>
        <v>6.7438535208430235</v>
      </c>
      <c r="I234" s="211">
        <v>49</v>
      </c>
      <c r="J234" s="171">
        <f t="shared" si="75"/>
        <v>7.2658754892224726</v>
      </c>
      <c r="K234" s="66">
        <f t="shared" si="62"/>
        <v>0</v>
      </c>
      <c r="L234" s="171">
        <f t="shared" si="76"/>
        <v>7.2658754892224726</v>
      </c>
      <c r="M234" s="60"/>
    </row>
    <row r="235" spans="1:13" x14ac:dyDescent="0.2">
      <c r="A235" s="60"/>
      <c r="B235" s="11"/>
      <c r="C235" s="236"/>
      <c r="D235" s="74" t="s">
        <v>119</v>
      </c>
      <c r="E235" s="65">
        <v>50</v>
      </c>
      <c r="F235" s="158">
        <v>4</v>
      </c>
      <c r="G235" s="159">
        <f>($C$227+E235+E235+4)*PI()+($C$227+E235+E235+8)*PI()+($C$227+E235+E235+12)*PI()+($C$227+E235+E235+16)*PI()</f>
        <v>1734.1591447815661</v>
      </c>
      <c r="H235" s="72">
        <f t="shared" si="74"/>
        <v>5.7664834453585261</v>
      </c>
      <c r="I235" s="211">
        <v>49</v>
      </c>
      <c r="J235" s="171">
        <f t="shared" si="75"/>
        <v>8.497379809429674</v>
      </c>
      <c r="K235" s="66">
        <f t="shared" si="62"/>
        <v>0</v>
      </c>
      <c r="L235" s="171">
        <f t="shared" si="76"/>
        <v>8.497379809429674</v>
      </c>
      <c r="M235" s="60"/>
    </row>
    <row r="236" spans="1:13" x14ac:dyDescent="0.2">
      <c r="A236" s="60"/>
      <c r="B236" s="11"/>
      <c r="C236" s="235">
        <v>35</v>
      </c>
      <c r="D236" s="74" t="s">
        <v>119</v>
      </c>
      <c r="E236" s="65">
        <v>9</v>
      </c>
      <c r="F236" s="158">
        <v>1</v>
      </c>
      <c r="G236" s="159">
        <f>($C$236+E236+E236+4)*PI()</f>
        <v>179.0707812546182</v>
      </c>
      <c r="H236" s="72">
        <f t="shared" si="69"/>
        <v>55.843839681366788</v>
      </c>
      <c r="I236" s="211">
        <v>49</v>
      </c>
      <c r="J236" s="171">
        <f t="shared" si="70"/>
        <v>0.8774468281476292</v>
      </c>
      <c r="K236" s="66">
        <f t="shared" si="62"/>
        <v>0</v>
      </c>
      <c r="L236" s="171">
        <f t="shared" si="71"/>
        <v>0.8774468281476292</v>
      </c>
      <c r="M236" s="60"/>
    </row>
    <row r="237" spans="1:13" x14ac:dyDescent="0.2">
      <c r="A237" s="60"/>
      <c r="B237" s="11"/>
      <c r="C237" s="236"/>
      <c r="D237" s="74" t="s">
        <v>119</v>
      </c>
      <c r="E237" s="65">
        <v>10</v>
      </c>
      <c r="F237" s="158">
        <v>2</v>
      </c>
      <c r="G237" s="159">
        <f>($C$236+E237+E237+4)*PI()+($C$236+E237+E237+8)*PI()</f>
        <v>383.27430373795477</v>
      </c>
      <c r="H237" s="72">
        <f t="shared" si="69"/>
        <v>26.090974277359891</v>
      </c>
      <c r="I237" s="211">
        <v>49</v>
      </c>
      <c r="J237" s="171">
        <f t="shared" si="70"/>
        <v>1.8780440883159784</v>
      </c>
      <c r="K237" s="66">
        <f t="shared" si="62"/>
        <v>0</v>
      </c>
      <c r="L237" s="171">
        <f t="shared" si="71"/>
        <v>1.8780440883159784</v>
      </c>
      <c r="M237" s="60"/>
    </row>
    <row r="238" spans="1:13" x14ac:dyDescent="0.2">
      <c r="A238" s="60"/>
      <c r="B238" s="11"/>
      <c r="C238" s="236"/>
      <c r="D238" s="74" t="s">
        <v>119</v>
      </c>
      <c r="E238" s="65">
        <v>13</v>
      </c>
      <c r="F238" s="158">
        <v>2</v>
      </c>
      <c r="G238" s="159">
        <f t="shared" ref="G238:G240" si="78">($C$236+E238+E238+4)*PI()+($C$236+E238+E238+8)*PI()</f>
        <v>420.97341558103227</v>
      </c>
      <c r="H238" s="72">
        <f t="shared" si="69"/>
        <v>23.754469118193335</v>
      </c>
      <c r="I238" s="211">
        <v>49</v>
      </c>
      <c r="J238" s="171">
        <f t="shared" si="70"/>
        <v>2.0627697363470583</v>
      </c>
      <c r="K238" s="66">
        <f t="shared" si="62"/>
        <v>0</v>
      </c>
      <c r="L238" s="171">
        <f t="shared" si="71"/>
        <v>2.0627697363470583</v>
      </c>
      <c r="M238" s="60"/>
    </row>
    <row r="239" spans="1:13" x14ac:dyDescent="0.2">
      <c r="A239" s="60"/>
      <c r="B239" s="11"/>
      <c r="C239" s="236"/>
      <c r="D239" s="74" t="s">
        <v>119</v>
      </c>
      <c r="E239" s="65">
        <v>16</v>
      </c>
      <c r="F239" s="158">
        <v>2</v>
      </c>
      <c r="G239" s="159">
        <f t="shared" si="78"/>
        <v>458.67252742410983</v>
      </c>
      <c r="H239" s="72">
        <f t="shared" si="69"/>
        <v>21.802046998889772</v>
      </c>
      <c r="I239" s="211">
        <v>49</v>
      </c>
      <c r="J239" s="171">
        <f t="shared" si="70"/>
        <v>2.247495384378138</v>
      </c>
      <c r="K239" s="66">
        <f t="shared" si="62"/>
        <v>0</v>
      </c>
      <c r="L239" s="171">
        <f t="shared" si="71"/>
        <v>2.247495384378138</v>
      </c>
      <c r="M239" s="60"/>
    </row>
    <row r="240" spans="1:13" x14ac:dyDescent="0.2">
      <c r="A240" s="60"/>
      <c r="B240" s="11"/>
      <c r="C240" s="236"/>
      <c r="D240" s="74" t="s">
        <v>119</v>
      </c>
      <c r="E240" s="65">
        <v>19</v>
      </c>
      <c r="F240" s="158">
        <v>2</v>
      </c>
      <c r="G240" s="159">
        <f t="shared" si="78"/>
        <v>496.37163926718733</v>
      </c>
      <c r="H240" s="72">
        <f t="shared" si="69"/>
        <v>20.146195328088016</v>
      </c>
      <c r="I240" s="211">
        <v>49</v>
      </c>
      <c r="J240" s="171">
        <f t="shared" si="70"/>
        <v>2.4322210324092182</v>
      </c>
      <c r="K240" s="66">
        <f t="shared" si="62"/>
        <v>0</v>
      </c>
      <c r="L240" s="171">
        <f t="shared" si="71"/>
        <v>2.4322210324092182</v>
      </c>
      <c r="M240" s="60"/>
    </row>
    <row r="241" spans="1:13" x14ac:dyDescent="0.2">
      <c r="A241" s="60"/>
      <c r="B241" s="11"/>
      <c r="C241" s="236"/>
      <c r="D241" s="74" t="s">
        <v>119</v>
      </c>
      <c r="E241" s="65">
        <v>25</v>
      </c>
      <c r="F241" s="158">
        <v>3</v>
      </c>
      <c r="G241" s="159">
        <f>($C$236+E241+E241+4)*PI()+($C$236+E241+E241+8)*PI()+($C$236+E241+E241+12)*PI()</f>
        <v>876.50435035155226</v>
      </c>
      <c r="H241" s="72">
        <f t="shared" si="69"/>
        <v>11.408956494042677</v>
      </c>
      <c r="I241" s="211">
        <v>49</v>
      </c>
      <c r="J241" s="171">
        <f t="shared" si="70"/>
        <v>4.294871316722606</v>
      </c>
      <c r="K241" s="66">
        <f t="shared" si="62"/>
        <v>0</v>
      </c>
      <c r="L241" s="171">
        <f t="shared" si="71"/>
        <v>4.294871316722606</v>
      </c>
      <c r="M241" s="60"/>
    </row>
    <row r="242" spans="1:13" x14ac:dyDescent="0.2">
      <c r="A242" s="60"/>
      <c r="B242" s="11"/>
      <c r="C242" s="236"/>
      <c r="D242" s="74" t="s">
        <v>119</v>
      </c>
      <c r="E242" s="65">
        <v>32</v>
      </c>
      <c r="F242" s="158">
        <v>3</v>
      </c>
      <c r="G242" s="159">
        <f>($C$236+E242+E242+4)*PI()+($C$236+E242+E242+8)*PI()+($C$236+E242+E242+12)*PI()</f>
        <v>1008.4512418023237</v>
      </c>
      <c r="H242" s="72">
        <f t="shared" si="69"/>
        <v>9.9161958312707377</v>
      </c>
      <c r="I242" s="211">
        <v>49</v>
      </c>
      <c r="J242" s="171">
        <f t="shared" si="70"/>
        <v>4.9414110848313859</v>
      </c>
      <c r="K242" s="66">
        <f t="shared" si="62"/>
        <v>0</v>
      </c>
      <c r="L242" s="171">
        <f t="shared" si="71"/>
        <v>4.9414110848313859</v>
      </c>
      <c r="M242" s="60"/>
    </row>
    <row r="243" spans="1:13" x14ac:dyDescent="0.2">
      <c r="A243" s="60"/>
      <c r="B243" s="11"/>
      <c r="C243" s="236"/>
      <c r="D243" s="74" t="s">
        <v>119</v>
      </c>
      <c r="E243" s="65">
        <v>40</v>
      </c>
      <c r="F243" s="158">
        <v>4</v>
      </c>
      <c r="G243" s="159">
        <f>($C$236+E243+E243+4)*PI()+($C$236+E243+E243+8)*PI()+($C$236+E243+E243+12)*PI()+($C$236+E243+E243+16)*PI()</f>
        <v>1570.7963267948967</v>
      </c>
      <c r="H243" s="72">
        <f t="shared" si="69"/>
        <v>6.3661977236758132</v>
      </c>
      <c r="I243" s="211">
        <v>49</v>
      </c>
      <c r="J243" s="171">
        <f t="shared" si="70"/>
        <v>7.696902001294994</v>
      </c>
      <c r="K243" s="66">
        <f t="shared" si="62"/>
        <v>0</v>
      </c>
      <c r="L243" s="171">
        <f t="shared" si="71"/>
        <v>7.696902001294994</v>
      </c>
      <c r="M243" s="60"/>
    </row>
    <row r="244" spans="1:13" x14ac:dyDescent="0.2">
      <c r="A244" s="60"/>
      <c r="B244" s="11"/>
      <c r="C244" s="236"/>
      <c r="D244" s="74" t="s">
        <v>119</v>
      </c>
      <c r="E244" s="65">
        <v>50</v>
      </c>
      <c r="F244" s="158">
        <v>4</v>
      </c>
      <c r="G244" s="159">
        <f>($C$236+E244+E244+4)*PI()+($C$236+E244+E244+8)*PI()+($C$236+E244+E244+12)*PI()+($C$236+E244+E244+16)*PI()</f>
        <v>1822.1237390820797</v>
      </c>
      <c r="H244" s="72">
        <f t="shared" si="69"/>
        <v>5.4881014859274266</v>
      </c>
      <c r="I244" s="211">
        <v>49</v>
      </c>
      <c r="J244" s="171">
        <f t="shared" si="70"/>
        <v>8.9284063215021909</v>
      </c>
      <c r="K244" s="66">
        <f t="shared" si="62"/>
        <v>0</v>
      </c>
      <c r="L244" s="171">
        <f t="shared" si="71"/>
        <v>8.9284063215021909</v>
      </c>
      <c r="M244" s="60"/>
    </row>
    <row r="245" spans="1:13" x14ac:dyDescent="0.2">
      <c r="A245" s="60"/>
      <c r="B245" s="11"/>
      <c r="C245" s="235">
        <v>42</v>
      </c>
      <c r="D245" s="74" t="s">
        <v>119</v>
      </c>
      <c r="E245" s="65">
        <v>9</v>
      </c>
      <c r="F245" s="158">
        <v>1</v>
      </c>
      <c r="G245" s="159">
        <f>($C$245+E245+E245+4)*PI()</f>
        <v>201.06192982974676</v>
      </c>
      <c r="H245" s="72">
        <f t="shared" si="61"/>
        <v>49.735919716217296</v>
      </c>
      <c r="I245" s="211">
        <v>49</v>
      </c>
      <c r="J245" s="171">
        <f t="shared" si="59"/>
        <v>0.98520345616575911</v>
      </c>
      <c r="K245" s="66">
        <f t="shared" si="62"/>
        <v>0</v>
      </c>
      <c r="L245" s="171">
        <f t="shared" si="60"/>
        <v>0.98520345616575911</v>
      </c>
      <c r="M245" s="60"/>
    </row>
    <row r="246" spans="1:13" x14ac:dyDescent="0.2">
      <c r="A246" s="60"/>
      <c r="B246" s="11"/>
      <c r="C246" s="236"/>
      <c r="D246" s="74" t="s">
        <v>119</v>
      </c>
      <c r="E246" s="65">
        <v>10</v>
      </c>
      <c r="F246" s="158">
        <v>2</v>
      </c>
      <c r="G246" s="159">
        <f>($C$245+E246+E246+4)*PI()+($C$245+E246+E246+8)*PI()</f>
        <v>427.25660088821189</v>
      </c>
      <c r="H246" s="72">
        <f t="shared" si="61"/>
        <v>23.405138689984607</v>
      </c>
      <c r="I246" s="211">
        <v>49</v>
      </c>
      <c r="J246" s="171">
        <f t="shared" si="59"/>
        <v>2.0935573443522384</v>
      </c>
      <c r="K246" s="66">
        <f t="shared" si="62"/>
        <v>0</v>
      </c>
      <c r="L246" s="171">
        <f t="shared" si="60"/>
        <v>2.0935573443522384</v>
      </c>
      <c r="M246" s="60"/>
    </row>
    <row r="247" spans="1:13" x14ac:dyDescent="0.2">
      <c r="A247" s="60"/>
      <c r="B247" s="11"/>
      <c r="C247" s="236"/>
      <c r="D247" s="74" t="s">
        <v>119</v>
      </c>
      <c r="E247" s="65">
        <v>13</v>
      </c>
      <c r="F247" s="158">
        <v>2</v>
      </c>
      <c r="G247" s="159">
        <f>($C$245+E247+E247+4)*PI()+($C$245+E247+E247+8)*PI()</f>
        <v>464.9557127312894</v>
      </c>
      <c r="H247" s="72">
        <f t="shared" si="61"/>
        <v>21.507424742148018</v>
      </c>
      <c r="I247" s="211">
        <v>49</v>
      </c>
      <c r="J247" s="171">
        <f t="shared" si="59"/>
        <v>2.2782829923833181</v>
      </c>
      <c r="K247" s="66">
        <f t="shared" si="62"/>
        <v>0</v>
      </c>
      <c r="L247" s="171">
        <f t="shared" si="60"/>
        <v>2.2782829923833181</v>
      </c>
      <c r="M247" s="60"/>
    </row>
    <row r="248" spans="1:13" x14ac:dyDescent="0.2">
      <c r="A248" s="60"/>
      <c r="B248" s="11"/>
      <c r="C248" s="236"/>
      <c r="D248" s="74" t="s">
        <v>119</v>
      </c>
      <c r="E248" s="65">
        <v>16</v>
      </c>
      <c r="F248" s="158">
        <v>2</v>
      </c>
      <c r="G248" s="159">
        <f>($C$245+E248+E248+4)*PI()+($C$245+E248+E248+8)*PI()</f>
        <v>502.6548245743669</v>
      </c>
      <c r="H248" s="72">
        <f t="shared" si="61"/>
        <v>19.894367886486918</v>
      </c>
      <c r="I248" s="211">
        <v>49</v>
      </c>
      <c r="J248" s="171">
        <f t="shared" si="59"/>
        <v>2.4630086404143978</v>
      </c>
      <c r="K248" s="66">
        <f t="shared" si="62"/>
        <v>0</v>
      </c>
      <c r="L248" s="171">
        <f t="shared" si="60"/>
        <v>2.4630086404143978</v>
      </c>
      <c r="M248" s="60"/>
    </row>
    <row r="249" spans="1:13" x14ac:dyDescent="0.2">
      <c r="A249" s="60"/>
      <c r="B249" s="11"/>
      <c r="C249" s="236"/>
      <c r="D249" s="74" t="s">
        <v>119</v>
      </c>
      <c r="E249" s="65">
        <v>19</v>
      </c>
      <c r="F249" s="158">
        <v>2</v>
      </c>
      <c r="G249" s="159">
        <f>($C$245+E249+E249+4)*PI()+($C$245+E249+E249+8)*PI()</f>
        <v>540.3539364174444</v>
      </c>
      <c r="H249" s="72">
        <f t="shared" si="61"/>
        <v>18.506388731615736</v>
      </c>
      <c r="I249" s="211">
        <v>49</v>
      </c>
      <c r="J249" s="171">
        <f t="shared" si="59"/>
        <v>2.647734288445478</v>
      </c>
      <c r="K249" s="66">
        <f t="shared" si="62"/>
        <v>0</v>
      </c>
      <c r="L249" s="171">
        <f t="shared" si="60"/>
        <v>2.647734288445478</v>
      </c>
      <c r="M249" s="60"/>
    </row>
    <row r="250" spans="1:13" x14ac:dyDescent="0.2">
      <c r="A250" s="60"/>
      <c r="B250" s="11"/>
      <c r="C250" s="236"/>
      <c r="D250" s="74" t="s">
        <v>119</v>
      </c>
      <c r="E250" s="65">
        <v>25</v>
      </c>
      <c r="F250" s="158">
        <v>3</v>
      </c>
      <c r="G250" s="159">
        <f>($C$245+E250+E250+4)*PI()+($C$245+E250+E250+8)*PI()+($C$245+E250+E250+12)*PI()</f>
        <v>942.47779607693792</v>
      </c>
      <c r="H250" s="72">
        <f t="shared" si="61"/>
        <v>10.610329539459689</v>
      </c>
      <c r="I250" s="211">
        <v>49</v>
      </c>
      <c r="J250" s="171">
        <f t="shared" si="59"/>
        <v>4.6181412007769955</v>
      </c>
      <c r="K250" s="66">
        <f t="shared" si="62"/>
        <v>0</v>
      </c>
      <c r="L250" s="171">
        <f t="shared" si="60"/>
        <v>4.6181412007769955</v>
      </c>
      <c r="M250" s="60"/>
    </row>
    <row r="251" spans="1:13" x14ac:dyDescent="0.2">
      <c r="A251" s="60"/>
      <c r="B251" s="11"/>
      <c r="C251" s="236"/>
      <c r="D251" s="74" t="s">
        <v>119</v>
      </c>
      <c r="E251" s="65">
        <v>32</v>
      </c>
      <c r="F251" s="158">
        <v>3</v>
      </c>
      <c r="G251" s="159">
        <f>($C$245+E251+E251+4)*PI()+($C$245+E251+E251+8)*PI()+($C$245+E251+E251+12)*PI()</f>
        <v>1074.4246875277092</v>
      </c>
      <c r="H251" s="72">
        <f t="shared" si="61"/>
        <v>9.3073066135611313</v>
      </c>
      <c r="I251" s="211">
        <v>49</v>
      </c>
      <c r="J251" s="171">
        <f t="shared" si="59"/>
        <v>5.2646809688857754</v>
      </c>
      <c r="K251" s="66">
        <f t="shared" si="62"/>
        <v>0</v>
      </c>
      <c r="L251" s="171">
        <f t="shared" si="60"/>
        <v>5.2646809688857754</v>
      </c>
      <c r="M251" s="60"/>
    </row>
    <row r="252" spans="1:13" x14ac:dyDescent="0.2">
      <c r="A252" s="60"/>
      <c r="B252" s="11"/>
      <c r="C252" s="236"/>
      <c r="D252" s="74" t="s">
        <v>119</v>
      </c>
      <c r="E252" s="65">
        <v>40</v>
      </c>
      <c r="F252" s="158">
        <v>4</v>
      </c>
      <c r="G252" s="159">
        <f>($C$245+E252+E252+4)*PI()+($C$245+E252+E252+8)*PI()+($C$245+E252+E252+12)*PI()+($C$245+E252+E252+16)*PI()</f>
        <v>1658.7609210954106</v>
      </c>
      <c r="H252" s="72">
        <f t="shared" si="61"/>
        <v>6.0285963292384608</v>
      </c>
      <c r="I252" s="211">
        <v>49</v>
      </c>
      <c r="J252" s="171">
        <f t="shared" si="59"/>
        <v>8.127928513367511</v>
      </c>
      <c r="K252" s="66">
        <f t="shared" si="62"/>
        <v>0</v>
      </c>
      <c r="L252" s="171">
        <f t="shared" si="60"/>
        <v>8.127928513367511</v>
      </c>
      <c r="M252" s="60"/>
    </row>
    <row r="253" spans="1:13" x14ac:dyDescent="0.2">
      <c r="A253" s="60"/>
      <c r="B253" s="11"/>
      <c r="C253" s="236"/>
      <c r="D253" s="74" t="s">
        <v>119</v>
      </c>
      <c r="E253" s="65">
        <v>50</v>
      </c>
      <c r="F253" s="158">
        <v>4</v>
      </c>
      <c r="G253" s="159">
        <f>($C$245+E253+E253+4)*PI()+($C$245+E253+E253+8)*PI()+($C$245+E253+E253+12)*PI()+($C$245+E253+E253+16)*PI()</f>
        <v>1910.0883333825941</v>
      </c>
      <c r="H253" s="72">
        <f t="shared" si="61"/>
        <v>5.2353599701281368</v>
      </c>
      <c r="I253" s="211">
        <v>49</v>
      </c>
      <c r="J253" s="171">
        <f t="shared" si="59"/>
        <v>9.3594328335747115</v>
      </c>
      <c r="K253" s="66">
        <f t="shared" si="62"/>
        <v>0</v>
      </c>
      <c r="L253" s="171">
        <f t="shared" si="60"/>
        <v>9.3594328335747115</v>
      </c>
      <c r="M253" s="60"/>
    </row>
    <row r="254" spans="1:13" x14ac:dyDescent="0.2">
      <c r="A254" s="60"/>
      <c r="B254" s="12"/>
      <c r="C254" s="243">
        <v>54</v>
      </c>
      <c r="D254" s="74" t="s">
        <v>119</v>
      </c>
      <c r="E254" s="65">
        <v>9</v>
      </c>
      <c r="F254" s="158">
        <v>1</v>
      </c>
      <c r="G254" s="159">
        <f>($C$254+E254+E254+4)*PI()</f>
        <v>238.76104167282426</v>
      </c>
      <c r="H254" s="72">
        <f t="shared" si="61"/>
        <v>41.882879761025094</v>
      </c>
      <c r="I254" s="211">
        <v>49</v>
      </c>
      <c r="J254" s="171">
        <f t="shared" si="59"/>
        <v>1.1699291041968389</v>
      </c>
      <c r="K254" s="66">
        <f t="shared" si="62"/>
        <v>0</v>
      </c>
      <c r="L254" s="171">
        <f t="shared" si="60"/>
        <v>1.1699291041968389</v>
      </c>
      <c r="M254" s="60"/>
    </row>
    <row r="255" spans="1:13" x14ac:dyDescent="0.2">
      <c r="A255" s="60"/>
      <c r="B255" s="12"/>
      <c r="C255" s="244"/>
      <c r="D255" s="74" t="s">
        <v>119</v>
      </c>
      <c r="E255" s="65">
        <v>10</v>
      </c>
      <c r="F255" s="158">
        <v>2</v>
      </c>
      <c r="G255" s="159">
        <f>($C$254+E255+E255+4)*PI()+($C$254+E255+E255+8)*PI()</f>
        <v>502.6548245743669</v>
      </c>
      <c r="H255" s="72">
        <f t="shared" si="61"/>
        <v>19.894367886486918</v>
      </c>
      <c r="I255" s="211">
        <v>49</v>
      </c>
      <c r="J255" s="171">
        <f t="shared" si="59"/>
        <v>2.4630086404143978</v>
      </c>
      <c r="K255" s="66">
        <f t="shared" si="62"/>
        <v>0</v>
      </c>
      <c r="L255" s="171">
        <f t="shared" si="60"/>
        <v>2.4630086404143978</v>
      </c>
      <c r="M255" s="60"/>
    </row>
    <row r="256" spans="1:13" x14ac:dyDescent="0.2">
      <c r="A256" s="60"/>
      <c r="B256" s="12"/>
      <c r="C256" s="244"/>
      <c r="D256" s="74" t="s">
        <v>119</v>
      </c>
      <c r="E256" s="65">
        <v>13</v>
      </c>
      <c r="F256" s="158">
        <v>2</v>
      </c>
      <c r="G256" s="159">
        <f>($C$254+E256+E256+4)*PI()+($C$254+E256+E256+8)*PI()</f>
        <v>540.3539364174444</v>
      </c>
      <c r="H256" s="72">
        <f t="shared" si="61"/>
        <v>18.506388731615736</v>
      </c>
      <c r="I256" s="211">
        <v>49</v>
      </c>
      <c r="J256" s="171">
        <f t="shared" si="59"/>
        <v>2.647734288445478</v>
      </c>
      <c r="K256" s="66">
        <f t="shared" si="62"/>
        <v>0</v>
      </c>
      <c r="L256" s="171">
        <f t="shared" si="60"/>
        <v>2.647734288445478</v>
      </c>
      <c r="M256" s="60"/>
    </row>
    <row r="257" spans="1:13" x14ac:dyDescent="0.2">
      <c r="A257" s="60"/>
      <c r="B257" s="12"/>
      <c r="C257" s="244"/>
      <c r="D257" s="74" t="s">
        <v>119</v>
      </c>
      <c r="E257" s="65">
        <v>16</v>
      </c>
      <c r="F257" s="158">
        <v>2</v>
      </c>
      <c r="G257" s="159">
        <f>($C$254+E257+E257+4)*PI()+($C$254+E257+E257+8)*PI()</f>
        <v>578.05304826052202</v>
      </c>
      <c r="H257" s="72">
        <f t="shared" si="61"/>
        <v>17.299450336075576</v>
      </c>
      <c r="I257" s="211">
        <v>49</v>
      </c>
      <c r="J257" s="171">
        <f t="shared" si="59"/>
        <v>2.8324599364765581</v>
      </c>
      <c r="K257" s="66">
        <f t="shared" si="62"/>
        <v>0</v>
      </c>
      <c r="L257" s="171">
        <f t="shared" si="60"/>
        <v>2.8324599364765581</v>
      </c>
      <c r="M257" s="60"/>
    </row>
    <row r="258" spans="1:13" x14ac:dyDescent="0.2">
      <c r="A258" s="60"/>
      <c r="B258" s="12"/>
      <c r="C258" s="244"/>
      <c r="D258" s="74" t="s">
        <v>119</v>
      </c>
      <c r="E258" s="65">
        <v>19</v>
      </c>
      <c r="F258" s="158">
        <v>2</v>
      </c>
      <c r="G258" s="159">
        <f>($C$254+E258+E258+4)*PI()+($C$254+E258+E258+8)*PI()</f>
        <v>615.75216010359941</v>
      </c>
      <c r="H258" s="72">
        <f t="shared" si="61"/>
        <v>16.240300315499525</v>
      </c>
      <c r="I258" s="211">
        <v>49</v>
      </c>
      <c r="J258" s="171">
        <f t="shared" si="59"/>
        <v>3.0171855845076374</v>
      </c>
      <c r="K258" s="66">
        <f t="shared" si="62"/>
        <v>0</v>
      </c>
      <c r="L258" s="171">
        <f t="shared" si="60"/>
        <v>3.0171855845076374</v>
      </c>
      <c r="M258" s="60"/>
    </row>
    <row r="259" spans="1:13" x14ac:dyDescent="0.2">
      <c r="A259" s="60"/>
      <c r="B259" s="12"/>
      <c r="C259" s="244"/>
      <c r="D259" s="74" t="s">
        <v>119</v>
      </c>
      <c r="E259" s="65">
        <v>25</v>
      </c>
      <c r="F259" s="158">
        <v>3</v>
      </c>
      <c r="G259" s="159">
        <f>($C$254+E259+E259+4)*PI()+($C$254+E259+E259+8)*PI()+($C$254+E259+E259+12)*PI()</f>
        <v>1055.5751316061705</v>
      </c>
      <c r="H259" s="72">
        <f t="shared" si="61"/>
        <v>9.4735085173747215</v>
      </c>
      <c r="I259" s="211">
        <v>49</v>
      </c>
      <c r="J259" s="171">
        <f t="shared" si="59"/>
        <v>5.1723181448702364</v>
      </c>
      <c r="K259" s="66">
        <f t="shared" si="62"/>
        <v>0</v>
      </c>
      <c r="L259" s="171">
        <f t="shared" si="60"/>
        <v>5.1723181448702364</v>
      </c>
      <c r="M259" s="60"/>
    </row>
    <row r="260" spans="1:13" x14ac:dyDescent="0.2">
      <c r="A260" s="60"/>
      <c r="B260" s="12"/>
      <c r="C260" s="244"/>
      <c r="D260" s="74" t="s">
        <v>119</v>
      </c>
      <c r="E260" s="65">
        <v>32</v>
      </c>
      <c r="F260" s="158">
        <v>3</v>
      </c>
      <c r="G260" s="159">
        <f>($C$254+E260+E260+4)*PI()+($C$254+E260+E260+8)*PI()+($C$254+E260+E260+12)*PI()</f>
        <v>1187.5220230569419</v>
      </c>
      <c r="H260" s="72">
        <f t="shared" si="61"/>
        <v>8.4208964598886418</v>
      </c>
      <c r="I260" s="211">
        <v>49</v>
      </c>
      <c r="J260" s="171">
        <f t="shared" si="59"/>
        <v>5.8188579129790154</v>
      </c>
      <c r="K260" s="66">
        <f t="shared" si="62"/>
        <v>0</v>
      </c>
      <c r="L260" s="171">
        <f t="shared" si="60"/>
        <v>5.8188579129790154</v>
      </c>
      <c r="M260" s="60"/>
    </row>
    <row r="261" spans="1:13" x14ac:dyDescent="0.2">
      <c r="A261" s="60"/>
      <c r="B261" s="12"/>
      <c r="C261" s="244"/>
      <c r="D261" s="74" t="s">
        <v>119</v>
      </c>
      <c r="E261" s="65">
        <v>40</v>
      </c>
      <c r="F261" s="158">
        <v>4</v>
      </c>
      <c r="G261" s="159">
        <f>($C$254+E261+E261+4)*PI()+($C$254+E261+E261+8)*PI()+($C$254+E261+E261+12)*PI()+($C$254+E261+E261+16)*PI()</f>
        <v>1809.5573684677208</v>
      </c>
      <c r="H261" s="72">
        <f t="shared" si="61"/>
        <v>5.5262133018019215</v>
      </c>
      <c r="I261" s="211">
        <v>49</v>
      </c>
      <c r="J261" s="171">
        <f t="shared" si="59"/>
        <v>8.8668311054918316</v>
      </c>
      <c r="K261" s="66">
        <f t="shared" si="62"/>
        <v>0</v>
      </c>
      <c r="L261" s="171">
        <f t="shared" si="60"/>
        <v>8.8668311054918316</v>
      </c>
      <c r="M261" s="60"/>
    </row>
    <row r="262" spans="1:13" x14ac:dyDescent="0.2">
      <c r="A262" s="60"/>
      <c r="B262" s="12"/>
      <c r="C262" s="245"/>
      <c r="D262" s="74" t="s">
        <v>119</v>
      </c>
      <c r="E262" s="65">
        <v>50</v>
      </c>
      <c r="F262" s="158">
        <v>4</v>
      </c>
      <c r="G262" s="159">
        <f>($C$254+E262+E262+4)*PI()+($C$254+E262+E262+8)*PI()+($C$254+E262+E262+12)*PI()+($C$254+E262+E262+16)*PI()</f>
        <v>2060.8847807549046</v>
      </c>
      <c r="H262" s="72">
        <f t="shared" si="61"/>
        <v>4.8522848503626621</v>
      </c>
      <c r="I262" s="211">
        <v>49</v>
      </c>
      <c r="J262" s="171">
        <f t="shared" si="59"/>
        <v>10.098335425699032</v>
      </c>
      <c r="K262" s="66">
        <f t="shared" si="62"/>
        <v>0</v>
      </c>
      <c r="L262" s="171">
        <f t="shared" si="60"/>
        <v>10.098335425699032</v>
      </c>
      <c r="M262" s="60"/>
    </row>
  </sheetData>
  <sheetProtection algorithmName="SHA-512" hashValue="PX7gQ9J2d4P18IUHOOLlEzXsg2O+xvCyfrobmMujfLhmPv+wcarM1ccjWUP0Y2XPv58/CzPRxaTznt2QflYssw==" saltValue="KgNa4zqo67hG+jjvM5nfZQ==" spinCount="100000" sheet="1" objects="1" scenarios="1"/>
  <mergeCells count="40">
    <mergeCell ref="C254:C262"/>
    <mergeCell ref="C112:C120"/>
    <mergeCell ref="C173:C181"/>
    <mergeCell ref="C245:C253"/>
    <mergeCell ref="C157:C165"/>
    <mergeCell ref="C139:C147"/>
    <mergeCell ref="C130:C138"/>
    <mergeCell ref="B171:L171"/>
    <mergeCell ref="C121:C129"/>
    <mergeCell ref="C148:C156"/>
    <mergeCell ref="C209:C217"/>
    <mergeCell ref="C200:C208"/>
    <mergeCell ref="C191:C199"/>
    <mergeCell ref="C236:C244"/>
    <mergeCell ref="C227:C235"/>
    <mergeCell ref="H10:I10"/>
    <mergeCell ref="D17:D19"/>
    <mergeCell ref="D13:D15"/>
    <mergeCell ref="I13:J13"/>
    <mergeCell ref="E13:E14"/>
    <mergeCell ref="H13:H14"/>
    <mergeCell ref="E17:E18"/>
    <mergeCell ref="F17:G17"/>
    <mergeCell ref="H17:H18"/>
    <mergeCell ref="F13:G13"/>
    <mergeCell ref="I17:J17"/>
    <mergeCell ref="B21:L21"/>
    <mergeCell ref="C218:C226"/>
    <mergeCell ref="C182:C190"/>
    <mergeCell ref="C103:C111"/>
    <mergeCell ref="C94:C102"/>
    <mergeCell ref="C49:C57"/>
    <mergeCell ref="C85:C93"/>
    <mergeCell ref="C76:C84"/>
    <mergeCell ref="C67:C75"/>
    <mergeCell ref="C58:C66"/>
    <mergeCell ref="B47:L47"/>
    <mergeCell ref="B23:L23"/>
    <mergeCell ref="B37:L37"/>
    <mergeCell ref="B45:L45"/>
  </mergeCells>
  <hyperlinks>
    <hyperlink ref="H10:I10" location="SYSTEMY!A1" display="MENU GŁÓWNE" xr:uid="{00000000-0004-0000-0200-000000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0" orientation="landscape" r:id="rId1"/>
  <rowBreaks count="1" manualBreakCount="1">
    <brk id="46" min="1" max="14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DA5ED-F557-4B4D-9AAF-4A822C9E5895}">
  <sheetPr>
    <tabColor theme="1" tint="0.34998626667073579"/>
  </sheetPr>
  <dimension ref="A10:P113"/>
  <sheetViews>
    <sheetView showGridLines="0" zoomScale="85" zoomScaleNormal="85" workbookViewId="0">
      <selection activeCell="A2" sqref="A2"/>
    </sheetView>
  </sheetViews>
  <sheetFormatPr defaultColWidth="0" defaultRowHeight="12.75" x14ac:dyDescent="0.2"/>
  <cols>
    <col min="1" max="1" width="9.140625" style="53" customWidth="1"/>
    <col min="2" max="2" width="12.7109375" style="53" customWidth="1"/>
    <col min="3" max="3" width="14.140625" style="53" customWidth="1"/>
    <col min="4" max="4" width="21.7109375" style="53" bestFit="1" customWidth="1"/>
    <col min="5" max="5" width="12.140625" style="53" customWidth="1"/>
    <col min="6" max="6" width="15.28515625" style="53" customWidth="1"/>
    <col min="7" max="8" width="18.140625" style="53" customWidth="1"/>
    <col min="9" max="10" width="13.28515625" style="53" customWidth="1"/>
    <col min="11" max="12" width="15" style="53" customWidth="1"/>
    <col min="13" max="13" width="14.7109375" style="53" customWidth="1"/>
    <col min="14" max="14" width="13.5703125" style="53" customWidth="1"/>
    <col min="15" max="15" width="20.5703125" style="53" customWidth="1"/>
    <col min="16" max="16" width="0" style="53" hidden="1" customWidth="1"/>
    <col min="17" max="16384" width="9.140625" style="53" hidden="1"/>
  </cols>
  <sheetData>
    <row r="10" spans="1:15" ht="15.75" x14ac:dyDescent="0.25">
      <c r="H10" s="222" t="s">
        <v>73</v>
      </c>
      <c r="I10" s="222"/>
    </row>
    <row r="12" spans="1:15" x14ac:dyDescent="0.2">
      <c r="A12" s="54"/>
      <c r="M12" s="55"/>
      <c r="N12" s="56"/>
      <c r="O12" s="54"/>
    </row>
    <row r="13" spans="1:15" ht="12.75" customHeight="1" x14ac:dyDescent="0.2">
      <c r="A13" s="57"/>
      <c r="B13" s="57"/>
      <c r="C13" s="57"/>
      <c r="D13" s="241" t="s">
        <v>111</v>
      </c>
      <c r="E13" s="242" t="s">
        <v>93</v>
      </c>
      <c r="F13" s="242" t="s">
        <v>94</v>
      </c>
      <c r="G13" s="242"/>
      <c r="H13" s="242" t="s">
        <v>95</v>
      </c>
      <c r="I13" s="242" t="s">
        <v>96</v>
      </c>
      <c r="J13" s="242"/>
      <c r="K13" s="57"/>
      <c r="L13" s="55"/>
      <c r="M13" s="56"/>
      <c r="N13" s="57"/>
      <c r="O13" s="57"/>
    </row>
    <row r="14" spans="1:15" ht="38.25" customHeight="1" x14ac:dyDescent="0.2">
      <c r="A14" s="54"/>
      <c r="B14" s="54"/>
      <c r="C14" s="54"/>
      <c r="D14" s="241"/>
      <c r="E14" s="242"/>
      <c r="F14" s="246" t="s">
        <v>97</v>
      </c>
      <c r="G14" s="247"/>
      <c r="H14" s="242"/>
      <c r="I14" s="246" t="s">
        <v>31</v>
      </c>
      <c r="J14" s="247"/>
      <c r="L14" s="55"/>
      <c r="M14" s="56"/>
      <c r="N14" s="54"/>
      <c r="O14" s="54"/>
    </row>
    <row r="15" spans="1:15" s="59" customFormat="1" ht="17.25" customHeight="1" x14ac:dyDescent="0.25">
      <c r="A15" s="57"/>
      <c r="B15" s="57"/>
      <c r="C15" s="57"/>
      <c r="D15" s="241"/>
      <c r="E15" s="58">
        <f>SUM($B$25:$B$35,$B$42:$B$113,)</f>
        <v>0</v>
      </c>
      <c r="F15" s="248">
        <f>_xlfn.CEILING.PRECISE((SUMPRODUCT($B$25:$B$35,$F$25:$F$35)+SUMPRODUCT($B$42:$B$113,$G$42:$G$113))/10000,0.001)</f>
        <v>0</v>
      </c>
      <c r="G15" s="249"/>
      <c r="H15" s="13">
        <v>0</v>
      </c>
      <c r="I15" s="250">
        <f>ROUNDUP($F$15,0)*(49*(1-$H$15))</f>
        <v>0</v>
      </c>
      <c r="J15" s="251"/>
      <c r="L15" s="55"/>
      <c r="M15" s="56" t="s">
        <v>19</v>
      </c>
      <c r="N15" s="57"/>
      <c r="O15" s="57"/>
    </row>
    <row r="16" spans="1:15" x14ac:dyDescent="0.2">
      <c r="A16" s="60"/>
      <c r="B16" s="60"/>
      <c r="C16" s="60"/>
      <c r="D16" s="61"/>
      <c r="E16" s="60"/>
      <c r="F16" s="60"/>
      <c r="G16" s="60"/>
      <c r="H16" s="61"/>
      <c r="I16" s="61"/>
      <c r="J16" s="62"/>
      <c r="K16" s="63"/>
      <c r="L16" s="60"/>
      <c r="M16" s="64"/>
      <c r="N16" s="63"/>
      <c r="O16" s="60"/>
    </row>
    <row r="17" spans="1:15" ht="12.75" customHeight="1" x14ac:dyDescent="0.2">
      <c r="A17" s="57"/>
      <c r="B17" s="57"/>
      <c r="C17" s="57"/>
      <c r="D17" s="241" t="s">
        <v>112</v>
      </c>
      <c r="E17" s="242" t="s">
        <v>93</v>
      </c>
      <c r="F17" s="242" t="s">
        <v>94</v>
      </c>
      <c r="G17" s="242"/>
      <c r="H17" s="242" t="s">
        <v>95</v>
      </c>
      <c r="I17" s="242" t="s">
        <v>96</v>
      </c>
      <c r="J17" s="242"/>
      <c r="K17" s="57"/>
      <c r="L17" s="55"/>
      <c r="M17" s="56"/>
      <c r="N17" s="57"/>
      <c r="O17" s="57"/>
    </row>
    <row r="18" spans="1:15" ht="38.25" customHeight="1" x14ac:dyDescent="0.2">
      <c r="A18" s="54"/>
      <c r="B18" s="54"/>
      <c r="C18" s="54"/>
      <c r="D18" s="241"/>
      <c r="E18" s="242"/>
      <c r="F18" s="246" t="s">
        <v>97</v>
      </c>
      <c r="G18" s="247"/>
      <c r="H18" s="242"/>
      <c r="I18" s="246" t="s">
        <v>31</v>
      </c>
      <c r="J18" s="247"/>
      <c r="L18" s="55"/>
      <c r="M18" s="56"/>
      <c r="N18" s="54"/>
      <c r="O18" s="54"/>
    </row>
    <row r="19" spans="1:15" s="59" customFormat="1" ht="17.25" customHeight="1" x14ac:dyDescent="0.25">
      <c r="A19" s="57"/>
      <c r="B19" s="57"/>
      <c r="C19" s="57"/>
      <c r="D19" s="241"/>
      <c r="E19" s="58">
        <f>SUM($B$25:$B$35,$B$42:$B$113,)</f>
        <v>0</v>
      </c>
      <c r="F19" s="248">
        <f>_xlfn.CEILING.PRECISE((SUMPRODUCT($B$25:$B$35,$F$25:$F$35)+SUMPRODUCT($B$42:$B$113,$G$42:$G$113))/25000,0.001)</f>
        <v>0</v>
      </c>
      <c r="G19" s="249"/>
      <c r="H19" s="13">
        <v>0</v>
      </c>
      <c r="I19" s="250">
        <f>ROUNDUP($F$19,0)*(123.5*(1-$H$19))</f>
        <v>0</v>
      </c>
      <c r="J19" s="251"/>
      <c r="L19" s="108"/>
      <c r="M19" s="56" t="s">
        <v>19</v>
      </c>
      <c r="N19" s="57"/>
      <c r="O19" s="57"/>
    </row>
    <row r="20" spans="1:15" x14ac:dyDescent="0.2">
      <c r="A20" s="60"/>
      <c r="B20" s="60"/>
      <c r="C20" s="60"/>
      <c r="D20" s="61"/>
      <c r="E20" s="60"/>
      <c r="F20" s="60"/>
      <c r="G20" s="60"/>
      <c r="H20" s="61"/>
      <c r="I20" s="61"/>
      <c r="J20" s="62"/>
      <c r="K20" s="63"/>
      <c r="L20" s="60"/>
      <c r="M20" s="64"/>
      <c r="N20" s="63"/>
      <c r="O20" s="60"/>
    </row>
    <row r="21" spans="1:15" ht="23.25" customHeight="1" x14ac:dyDescent="0.2">
      <c r="A21" s="60"/>
      <c r="B21" s="232" t="s">
        <v>120</v>
      </c>
      <c r="C21" s="233"/>
      <c r="D21" s="233"/>
      <c r="E21" s="233"/>
      <c r="F21" s="233"/>
      <c r="G21" s="233"/>
      <c r="H21" s="233"/>
      <c r="I21" s="233"/>
      <c r="J21" s="233"/>
      <c r="K21" s="233"/>
      <c r="L21" s="233"/>
      <c r="M21" s="234"/>
      <c r="N21" s="106"/>
      <c r="O21" s="60"/>
    </row>
    <row r="22" spans="1:15" x14ac:dyDescent="0.2">
      <c r="A22" s="60"/>
      <c r="B22" s="60"/>
      <c r="C22" s="60"/>
      <c r="D22" s="61"/>
      <c r="E22" s="60"/>
      <c r="F22" s="60"/>
      <c r="G22" s="60"/>
      <c r="H22" s="61"/>
      <c r="I22" s="61"/>
      <c r="J22" s="62"/>
      <c r="K22" s="63"/>
      <c r="L22" s="60"/>
      <c r="M22" s="64"/>
      <c r="N22" s="63"/>
      <c r="O22" s="60"/>
    </row>
    <row r="23" spans="1:15" ht="21.75" customHeight="1" x14ac:dyDescent="0.2">
      <c r="A23" s="60"/>
      <c r="B23" s="227" t="s">
        <v>113</v>
      </c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35"/>
      <c r="O23" s="60"/>
    </row>
    <row r="24" spans="1:15" ht="25.5" x14ac:dyDescent="0.2">
      <c r="A24" s="60"/>
      <c r="B24" s="162" t="s">
        <v>99</v>
      </c>
      <c r="C24" s="162" t="s">
        <v>100</v>
      </c>
      <c r="D24" s="162" t="s">
        <v>101</v>
      </c>
      <c r="E24" s="162" t="s">
        <v>102</v>
      </c>
      <c r="F24" s="155" t="s">
        <v>122</v>
      </c>
      <c r="G24" s="155" t="s">
        <v>123</v>
      </c>
      <c r="H24" s="162" t="s">
        <v>104</v>
      </c>
      <c r="I24" s="162" t="s">
        <v>105</v>
      </c>
      <c r="J24" s="162" t="s">
        <v>106</v>
      </c>
      <c r="K24" s="162" t="s">
        <v>95</v>
      </c>
      <c r="L24" s="162" t="s">
        <v>107</v>
      </c>
      <c r="M24" s="162" t="s">
        <v>108</v>
      </c>
    </row>
    <row r="25" spans="1:15" x14ac:dyDescent="0.2">
      <c r="A25" s="57"/>
      <c r="B25" s="11"/>
      <c r="C25" s="65">
        <v>16</v>
      </c>
      <c r="D25" s="65" t="s">
        <v>124</v>
      </c>
      <c r="E25" s="158">
        <v>1</v>
      </c>
      <c r="F25" s="159">
        <f t="shared" ref="F25:F33" si="0">((C25+4)*PI())</f>
        <v>62.831853071795862</v>
      </c>
      <c r="G25" s="159">
        <f>F25*2</f>
        <v>125.66370614359172</v>
      </c>
      <c r="H25" s="72">
        <f>10000/G25</f>
        <v>79.577471545947674</v>
      </c>
      <c r="I25" s="211">
        <v>49</v>
      </c>
      <c r="J25" s="171">
        <f t="shared" ref="J25:J35" si="1">I25/H25</f>
        <v>0.61575216010359946</v>
      </c>
      <c r="K25" s="10">
        <v>0</v>
      </c>
      <c r="L25" s="171">
        <f t="shared" ref="L25:L35" si="2">J25*(1-K25)</f>
        <v>0.61575216010359946</v>
      </c>
      <c r="M25" s="171">
        <f t="shared" ref="M25:M35" si="3">B25*L25</f>
        <v>0</v>
      </c>
    </row>
    <row r="26" spans="1:15" x14ac:dyDescent="0.2">
      <c r="A26" s="60"/>
      <c r="B26" s="11"/>
      <c r="C26" s="65">
        <v>20</v>
      </c>
      <c r="D26" s="65" t="s">
        <v>124</v>
      </c>
      <c r="E26" s="158">
        <v>1</v>
      </c>
      <c r="F26" s="159">
        <f t="shared" si="0"/>
        <v>75.398223686155035</v>
      </c>
      <c r="G26" s="159">
        <f t="shared" ref="G26:G35" si="4">F26*2</f>
        <v>150.79644737231007</v>
      </c>
      <c r="H26" s="72">
        <f t="shared" ref="H26:H35" si="5">10000/G26</f>
        <v>66.314559621623062</v>
      </c>
      <c r="I26" s="211">
        <v>49</v>
      </c>
      <c r="J26" s="171">
        <f t="shared" si="1"/>
        <v>0.7389025921243193</v>
      </c>
      <c r="K26" s="66">
        <f t="shared" ref="K26:K35" si="6">$K$25</f>
        <v>0</v>
      </c>
      <c r="L26" s="171">
        <f t="shared" si="2"/>
        <v>0.7389025921243193</v>
      </c>
      <c r="M26" s="171">
        <f t="shared" si="3"/>
        <v>0</v>
      </c>
    </row>
    <row r="27" spans="1:15" x14ac:dyDescent="0.2">
      <c r="A27" s="60"/>
      <c r="B27" s="11"/>
      <c r="C27" s="65">
        <v>25</v>
      </c>
      <c r="D27" s="65" t="s">
        <v>124</v>
      </c>
      <c r="E27" s="158">
        <v>1</v>
      </c>
      <c r="F27" s="159">
        <f t="shared" si="0"/>
        <v>91.106186954104004</v>
      </c>
      <c r="G27" s="159">
        <f t="shared" si="4"/>
        <v>182.21237390820801</v>
      </c>
      <c r="H27" s="72">
        <f t="shared" si="5"/>
        <v>54.881014859274252</v>
      </c>
      <c r="I27" s="211">
        <v>49</v>
      </c>
      <c r="J27" s="171">
        <f t="shared" si="1"/>
        <v>0.89284063215021925</v>
      </c>
      <c r="K27" s="66">
        <f t="shared" si="6"/>
        <v>0</v>
      </c>
      <c r="L27" s="171">
        <f t="shared" si="2"/>
        <v>0.89284063215021925</v>
      </c>
      <c r="M27" s="171">
        <f t="shared" si="3"/>
        <v>0</v>
      </c>
    </row>
    <row r="28" spans="1:15" x14ac:dyDescent="0.2">
      <c r="A28" s="60"/>
      <c r="B28" s="11"/>
      <c r="C28" s="65">
        <v>32</v>
      </c>
      <c r="D28" s="65" t="s">
        <v>124</v>
      </c>
      <c r="E28" s="158">
        <v>1</v>
      </c>
      <c r="F28" s="159">
        <f t="shared" si="0"/>
        <v>113.09733552923255</v>
      </c>
      <c r="G28" s="159">
        <f t="shared" si="4"/>
        <v>226.1946710584651</v>
      </c>
      <c r="H28" s="72">
        <f t="shared" si="5"/>
        <v>44.209706414415372</v>
      </c>
      <c r="I28" s="211">
        <v>49</v>
      </c>
      <c r="J28" s="171">
        <f t="shared" si="1"/>
        <v>1.108353888186479</v>
      </c>
      <c r="K28" s="66">
        <f t="shared" si="6"/>
        <v>0</v>
      </c>
      <c r="L28" s="171">
        <f t="shared" si="2"/>
        <v>1.108353888186479</v>
      </c>
      <c r="M28" s="171">
        <f t="shared" si="3"/>
        <v>0</v>
      </c>
    </row>
    <row r="29" spans="1:15" x14ac:dyDescent="0.2">
      <c r="A29" s="60"/>
      <c r="B29" s="11"/>
      <c r="C29" s="65">
        <v>40</v>
      </c>
      <c r="D29" s="65" t="s">
        <v>124</v>
      </c>
      <c r="E29" s="158">
        <v>1</v>
      </c>
      <c r="F29" s="159">
        <f t="shared" si="0"/>
        <v>138.23007675795088</v>
      </c>
      <c r="G29" s="159">
        <f t="shared" si="4"/>
        <v>276.46015351590177</v>
      </c>
      <c r="H29" s="72">
        <f t="shared" si="5"/>
        <v>36.171577975430765</v>
      </c>
      <c r="I29" s="211">
        <v>49</v>
      </c>
      <c r="J29" s="171">
        <f t="shared" si="1"/>
        <v>1.3546547522279186</v>
      </c>
      <c r="K29" s="66">
        <f t="shared" si="6"/>
        <v>0</v>
      </c>
      <c r="L29" s="171">
        <f t="shared" si="2"/>
        <v>1.3546547522279186</v>
      </c>
      <c r="M29" s="171">
        <f t="shared" si="3"/>
        <v>0</v>
      </c>
    </row>
    <row r="30" spans="1:15" x14ac:dyDescent="0.2">
      <c r="A30" s="60"/>
      <c r="B30" s="11"/>
      <c r="C30" s="65">
        <v>50</v>
      </c>
      <c r="D30" s="65" t="s">
        <v>124</v>
      </c>
      <c r="E30" s="158">
        <v>1</v>
      </c>
      <c r="F30" s="159">
        <f t="shared" si="0"/>
        <v>169.64600329384882</v>
      </c>
      <c r="G30" s="159">
        <f t="shared" si="4"/>
        <v>339.29200658769764</v>
      </c>
      <c r="H30" s="72">
        <f t="shared" si="5"/>
        <v>29.473137609610248</v>
      </c>
      <c r="I30" s="211">
        <v>49</v>
      </c>
      <c r="J30" s="171">
        <f t="shared" si="1"/>
        <v>1.6625308322797185</v>
      </c>
      <c r="K30" s="66">
        <f t="shared" si="6"/>
        <v>0</v>
      </c>
      <c r="L30" s="171">
        <f t="shared" si="2"/>
        <v>1.6625308322797185</v>
      </c>
      <c r="M30" s="171">
        <f t="shared" si="3"/>
        <v>0</v>
      </c>
    </row>
    <row r="31" spans="1:15" x14ac:dyDescent="0.2">
      <c r="A31" s="60"/>
      <c r="B31" s="11"/>
      <c r="C31" s="65">
        <v>55</v>
      </c>
      <c r="D31" s="65" t="s">
        <v>124</v>
      </c>
      <c r="E31" s="158">
        <v>1</v>
      </c>
      <c r="F31" s="159">
        <f t="shared" si="0"/>
        <v>185.35396656179779</v>
      </c>
      <c r="G31" s="159">
        <f t="shared" si="4"/>
        <v>370.70793312359558</v>
      </c>
      <c r="H31" s="72">
        <f t="shared" si="5"/>
        <v>26.975414083372094</v>
      </c>
      <c r="I31" s="211">
        <v>49</v>
      </c>
      <c r="J31" s="171">
        <f t="shared" si="1"/>
        <v>1.8164688723056182</v>
      </c>
      <c r="K31" s="66">
        <f t="shared" si="6"/>
        <v>0</v>
      </c>
      <c r="L31" s="171">
        <f t="shared" si="2"/>
        <v>1.8164688723056182</v>
      </c>
      <c r="M31" s="171">
        <f t="shared" si="3"/>
        <v>0</v>
      </c>
    </row>
    <row r="32" spans="1:15" x14ac:dyDescent="0.2">
      <c r="A32" s="60"/>
      <c r="B32" s="11"/>
      <c r="C32" s="65">
        <v>63</v>
      </c>
      <c r="D32" s="65" t="s">
        <v>124</v>
      </c>
      <c r="E32" s="158">
        <v>1</v>
      </c>
      <c r="F32" s="159">
        <f t="shared" si="0"/>
        <v>210.48670779051614</v>
      </c>
      <c r="G32" s="159">
        <f t="shared" si="4"/>
        <v>420.97341558103227</v>
      </c>
      <c r="H32" s="72">
        <f t="shared" si="5"/>
        <v>23.754469118193335</v>
      </c>
      <c r="I32" s="211">
        <v>49</v>
      </c>
      <c r="J32" s="171">
        <f t="shared" si="1"/>
        <v>2.0627697363470583</v>
      </c>
      <c r="K32" s="66">
        <f t="shared" si="6"/>
        <v>0</v>
      </c>
      <c r="L32" s="171">
        <f t="shared" si="2"/>
        <v>2.0627697363470583</v>
      </c>
      <c r="M32" s="171">
        <f t="shared" si="3"/>
        <v>0</v>
      </c>
    </row>
    <row r="33" spans="1:15" x14ac:dyDescent="0.2">
      <c r="A33" s="60"/>
      <c r="B33" s="11"/>
      <c r="C33" s="65">
        <v>75</v>
      </c>
      <c r="D33" s="65" t="s">
        <v>124</v>
      </c>
      <c r="E33" s="158">
        <v>1</v>
      </c>
      <c r="F33" s="159">
        <f t="shared" si="0"/>
        <v>248.18581963359367</v>
      </c>
      <c r="G33" s="159">
        <f t="shared" si="4"/>
        <v>496.37163926718733</v>
      </c>
      <c r="H33" s="72">
        <f t="shared" si="5"/>
        <v>20.146195328088016</v>
      </c>
      <c r="I33" s="211">
        <v>49</v>
      </c>
      <c r="J33" s="171">
        <f t="shared" si="1"/>
        <v>2.4322210324092182</v>
      </c>
      <c r="K33" s="66">
        <f t="shared" si="6"/>
        <v>0</v>
      </c>
      <c r="L33" s="171">
        <f t="shared" si="2"/>
        <v>2.4322210324092182</v>
      </c>
      <c r="M33" s="171">
        <f t="shared" si="3"/>
        <v>0</v>
      </c>
    </row>
    <row r="34" spans="1:15" x14ac:dyDescent="0.2">
      <c r="A34" s="60"/>
      <c r="B34" s="11"/>
      <c r="C34" s="65">
        <v>90</v>
      </c>
      <c r="D34" s="65" t="s">
        <v>124</v>
      </c>
      <c r="E34" s="158">
        <v>2</v>
      </c>
      <c r="F34" s="159">
        <f>(((C34+4)*PI())+((C34+8)*PI()))</f>
        <v>603.18578948924028</v>
      </c>
      <c r="G34" s="159">
        <f t="shared" si="4"/>
        <v>1206.3715789784806</v>
      </c>
      <c r="H34" s="72">
        <f t="shared" si="5"/>
        <v>8.2893199527028827</v>
      </c>
      <c r="I34" s="211">
        <v>49</v>
      </c>
      <c r="J34" s="171">
        <f t="shared" si="1"/>
        <v>5.9112207369945544</v>
      </c>
      <c r="K34" s="66">
        <f t="shared" si="6"/>
        <v>0</v>
      </c>
      <c r="L34" s="171">
        <f t="shared" si="2"/>
        <v>5.9112207369945544</v>
      </c>
      <c r="M34" s="171">
        <f t="shared" si="3"/>
        <v>0</v>
      </c>
    </row>
    <row r="35" spans="1:15" x14ac:dyDescent="0.2">
      <c r="A35" s="60"/>
      <c r="B35" s="11"/>
      <c r="C35" s="65">
        <v>110</v>
      </c>
      <c r="D35" s="65" t="s">
        <v>124</v>
      </c>
      <c r="E35" s="158">
        <v>2</v>
      </c>
      <c r="F35" s="159">
        <f>(((C35+4)*PI())+((C35+8)*PI()))</f>
        <v>728.84949563283203</v>
      </c>
      <c r="G35" s="159">
        <f t="shared" si="4"/>
        <v>1457.6989912656641</v>
      </c>
      <c r="H35" s="72">
        <f t="shared" si="5"/>
        <v>6.8601268574092815</v>
      </c>
      <c r="I35" s="211">
        <v>49</v>
      </c>
      <c r="J35" s="171">
        <f t="shared" si="1"/>
        <v>7.142725057201754</v>
      </c>
      <c r="K35" s="66">
        <f t="shared" si="6"/>
        <v>0</v>
      </c>
      <c r="L35" s="171">
        <f t="shared" si="2"/>
        <v>7.142725057201754</v>
      </c>
      <c r="M35" s="171">
        <f t="shared" si="3"/>
        <v>0</v>
      </c>
    </row>
    <row r="36" spans="1:15" x14ac:dyDescent="0.2">
      <c r="A36" s="60"/>
      <c r="B36" s="67"/>
      <c r="C36" s="67"/>
      <c r="D36" s="68"/>
      <c r="E36" s="67"/>
      <c r="F36" s="67"/>
      <c r="G36" s="67"/>
      <c r="J36" s="69"/>
      <c r="K36" s="70"/>
      <c r="L36" s="70"/>
      <c r="M36" s="71"/>
      <c r="N36" s="70"/>
      <c r="O36" s="60"/>
    </row>
    <row r="37" spans="1:15" x14ac:dyDescent="0.2">
      <c r="A37" s="60"/>
      <c r="B37" s="67"/>
      <c r="C37" s="67"/>
      <c r="D37" s="68"/>
      <c r="E37" s="67"/>
      <c r="F37" s="67"/>
      <c r="G37" s="67"/>
      <c r="J37" s="105"/>
      <c r="K37" s="70"/>
      <c r="L37" s="70"/>
      <c r="M37" s="71"/>
      <c r="N37" s="70"/>
      <c r="O37" s="60"/>
    </row>
    <row r="38" spans="1:15" ht="23.25" customHeight="1" x14ac:dyDescent="0.2">
      <c r="A38" s="60"/>
      <c r="B38" s="232" t="s">
        <v>121</v>
      </c>
      <c r="C38" s="233"/>
      <c r="D38" s="233"/>
      <c r="E38" s="233"/>
      <c r="F38" s="233"/>
      <c r="G38" s="233"/>
      <c r="H38" s="233"/>
      <c r="I38" s="233"/>
      <c r="J38" s="233"/>
      <c r="K38" s="233"/>
      <c r="L38" s="233"/>
      <c r="M38" s="234"/>
      <c r="N38" s="106"/>
      <c r="O38" s="60"/>
    </row>
    <row r="39" spans="1:15" x14ac:dyDescent="0.2">
      <c r="A39" s="60"/>
      <c r="B39" s="60"/>
      <c r="C39" s="60"/>
      <c r="D39" s="61"/>
      <c r="E39" s="60"/>
      <c r="F39" s="60"/>
      <c r="G39" s="60"/>
      <c r="H39" s="61"/>
      <c r="I39" s="61"/>
      <c r="J39" s="62"/>
      <c r="K39" s="63"/>
      <c r="L39" s="63"/>
      <c r="M39" s="64"/>
      <c r="N39" s="63"/>
      <c r="O39" s="60"/>
    </row>
    <row r="40" spans="1:15" ht="26.25" customHeight="1" x14ac:dyDescent="0.2">
      <c r="A40" s="60"/>
      <c r="B40" s="227" t="s">
        <v>117</v>
      </c>
      <c r="C40" s="227"/>
      <c r="D40" s="227"/>
      <c r="E40" s="227"/>
      <c r="F40" s="227"/>
      <c r="G40" s="227"/>
      <c r="H40" s="227"/>
      <c r="I40" s="227"/>
      <c r="J40" s="227"/>
      <c r="K40" s="227"/>
      <c r="L40" s="227"/>
      <c r="M40" s="227"/>
      <c r="N40" s="35"/>
      <c r="O40" s="60"/>
    </row>
    <row r="41" spans="1:15" ht="38.25" x14ac:dyDescent="0.2">
      <c r="A41" s="60"/>
      <c r="B41" s="155" t="s">
        <v>99</v>
      </c>
      <c r="C41" s="155" t="s">
        <v>100</v>
      </c>
      <c r="D41" s="155" t="s">
        <v>115</v>
      </c>
      <c r="E41" s="155" t="s">
        <v>101</v>
      </c>
      <c r="F41" s="155" t="s">
        <v>102</v>
      </c>
      <c r="G41" s="155" t="s">
        <v>122</v>
      </c>
      <c r="H41" s="155" t="s">
        <v>123</v>
      </c>
      <c r="I41" s="155" t="s">
        <v>104</v>
      </c>
      <c r="J41" s="155" t="s">
        <v>105</v>
      </c>
      <c r="K41" s="155" t="s">
        <v>106</v>
      </c>
      <c r="L41" s="155" t="s">
        <v>95</v>
      </c>
      <c r="M41" s="155" t="s">
        <v>107</v>
      </c>
    </row>
    <row r="42" spans="1:15" x14ac:dyDescent="0.2">
      <c r="A42" s="60"/>
      <c r="B42" s="119"/>
      <c r="C42" s="252">
        <v>21.3</v>
      </c>
      <c r="D42" s="120" t="s">
        <v>116</v>
      </c>
      <c r="E42" s="121">
        <v>9</v>
      </c>
      <c r="F42" s="160">
        <v>1</v>
      </c>
      <c r="G42" s="161">
        <f>($C$42+E42+E42+4)*PI()</f>
        <v>136.03096190043803</v>
      </c>
      <c r="H42" s="161">
        <f>G42*2</f>
        <v>272.06192380087606</v>
      </c>
      <c r="I42" s="122">
        <f>10000/H42</f>
        <v>36.756337896511631</v>
      </c>
      <c r="J42" s="211">
        <v>49</v>
      </c>
      <c r="K42" s="173">
        <f t="shared" ref="K42:K105" si="7">J42/I42</f>
        <v>1.3331034266242927</v>
      </c>
      <c r="L42" s="123">
        <v>0</v>
      </c>
      <c r="M42" s="173">
        <f t="shared" ref="M42:M105" si="8">K42*(1-L42)</f>
        <v>1.3331034266242927</v>
      </c>
    </row>
    <row r="43" spans="1:15" x14ac:dyDescent="0.2">
      <c r="A43" s="60"/>
      <c r="B43" s="12"/>
      <c r="C43" s="237"/>
      <c r="D43" s="120" t="s">
        <v>116</v>
      </c>
      <c r="E43" s="65">
        <v>10</v>
      </c>
      <c r="F43" s="158">
        <v>2</v>
      </c>
      <c r="G43" s="159">
        <f>($C$42+E43+E43+4)*PI()+($C$42+E43+E43+8)*PI()</f>
        <v>297.19466502959438</v>
      </c>
      <c r="H43" s="161">
        <f t="shared" ref="H43:H106" si="9">G43*2</f>
        <v>594.38933005918875</v>
      </c>
      <c r="I43" s="122">
        <f t="shared" ref="I43:I106" si="10">10000/H43</f>
        <v>16.82398975601431</v>
      </c>
      <c r="J43" s="211">
        <v>49</v>
      </c>
      <c r="K43" s="171">
        <f t="shared" si="7"/>
        <v>2.9125077172900249</v>
      </c>
      <c r="L43" s="66">
        <f t="shared" ref="L43:L74" si="11">$L$42</f>
        <v>0</v>
      </c>
      <c r="M43" s="171">
        <f t="shared" si="8"/>
        <v>2.9125077172900249</v>
      </c>
    </row>
    <row r="44" spans="1:15" x14ac:dyDescent="0.2">
      <c r="A44" s="60"/>
      <c r="B44" s="12"/>
      <c r="C44" s="237"/>
      <c r="D44" s="120" t="s">
        <v>116</v>
      </c>
      <c r="E44" s="65">
        <v>13</v>
      </c>
      <c r="F44" s="158">
        <v>2</v>
      </c>
      <c r="G44" s="159">
        <f>($C$42+E44+E44+4)*PI()+($C$42+E44+E44+8)*PI()</f>
        <v>334.89377687267194</v>
      </c>
      <c r="H44" s="161">
        <f t="shared" si="9"/>
        <v>669.78755374534387</v>
      </c>
      <c r="I44" s="122">
        <f t="shared" si="10"/>
        <v>14.930107231885117</v>
      </c>
      <c r="J44" s="211">
        <v>49</v>
      </c>
      <c r="K44" s="171">
        <f t="shared" si="7"/>
        <v>3.2819590133521852</v>
      </c>
      <c r="L44" s="66">
        <f t="shared" si="11"/>
        <v>0</v>
      </c>
      <c r="M44" s="171">
        <f t="shared" si="8"/>
        <v>3.2819590133521852</v>
      </c>
    </row>
    <row r="45" spans="1:15" x14ac:dyDescent="0.2">
      <c r="A45" s="60"/>
      <c r="B45" s="12"/>
      <c r="C45" s="237"/>
      <c r="D45" s="120" t="s">
        <v>116</v>
      </c>
      <c r="E45" s="65">
        <v>16</v>
      </c>
      <c r="F45" s="158">
        <v>2</v>
      </c>
      <c r="G45" s="159">
        <f>($C$42+E45+E45+4)*PI()+($C$42+E45+E45+8)*PI()</f>
        <v>372.59288871574944</v>
      </c>
      <c r="H45" s="161">
        <f t="shared" si="9"/>
        <v>745.18577743149888</v>
      </c>
      <c r="I45" s="122">
        <f t="shared" si="10"/>
        <v>13.419472436078866</v>
      </c>
      <c r="J45" s="211">
        <v>49</v>
      </c>
      <c r="K45" s="171">
        <f t="shared" si="7"/>
        <v>3.6514103094143446</v>
      </c>
      <c r="L45" s="66">
        <f t="shared" si="11"/>
        <v>0</v>
      </c>
      <c r="M45" s="171">
        <f t="shared" si="8"/>
        <v>3.6514103094143446</v>
      </c>
    </row>
    <row r="46" spans="1:15" x14ac:dyDescent="0.2">
      <c r="A46" s="60"/>
      <c r="B46" s="12"/>
      <c r="C46" s="237"/>
      <c r="D46" s="120" t="s">
        <v>116</v>
      </c>
      <c r="E46" s="65">
        <v>19</v>
      </c>
      <c r="F46" s="158">
        <v>2</v>
      </c>
      <c r="G46" s="159">
        <f>($C$42+E46+E46+4)*PI()+($C$42+E46+E46+8)*PI()</f>
        <v>410.292000558827</v>
      </c>
      <c r="H46" s="161">
        <f t="shared" si="9"/>
        <v>820.584001117654</v>
      </c>
      <c r="I46" s="122">
        <f t="shared" si="10"/>
        <v>12.186442809486627</v>
      </c>
      <c r="J46" s="211">
        <v>49</v>
      </c>
      <c r="K46" s="171">
        <f t="shared" si="7"/>
        <v>4.0208616054765045</v>
      </c>
      <c r="L46" s="66">
        <f t="shared" si="11"/>
        <v>0</v>
      </c>
      <c r="M46" s="171">
        <f t="shared" si="8"/>
        <v>4.0208616054765045</v>
      </c>
    </row>
    <row r="47" spans="1:15" x14ac:dyDescent="0.2">
      <c r="A47" s="60"/>
      <c r="B47" s="12"/>
      <c r="C47" s="237"/>
      <c r="D47" s="120" t="s">
        <v>116</v>
      </c>
      <c r="E47" s="65">
        <v>25</v>
      </c>
      <c r="F47" s="158">
        <v>3</v>
      </c>
      <c r="G47" s="159">
        <f>($C$42+E47+E47+4)*PI()+($C$42+E47+E47+8)*PI()+($C$42+E47+E47+12)*PI()</f>
        <v>747.38489228901176</v>
      </c>
      <c r="H47" s="161">
        <f t="shared" si="9"/>
        <v>1494.7697845780235</v>
      </c>
      <c r="I47" s="122">
        <f t="shared" si="10"/>
        <v>6.689993404451255</v>
      </c>
      <c r="J47" s="211">
        <v>49</v>
      </c>
      <c r="K47" s="171">
        <f t="shared" si="7"/>
        <v>7.3243719444323148</v>
      </c>
      <c r="L47" s="66">
        <f t="shared" si="11"/>
        <v>0</v>
      </c>
      <c r="M47" s="171">
        <f t="shared" si="8"/>
        <v>7.3243719444323148</v>
      </c>
    </row>
    <row r="48" spans="1:15" x14ac:dyDescent="0.2">
      <c r="A48" s="60"/>
      <c r="B48" s="12"/>
      <c r="C48" s="237"/>
      <c r="D48" s="120" t="s">
        <v>116</v>
      </c>
      <c r="E48" s="65">
        <v>32</v>
      </c>
      <c r="F48" s="158">
        <v>3</v>
      </c>
      <c r="G48" s="159">
        <f>($C$42+E48+E48+4)*PI()+($C$42+E48+E48+8)*PI()+($C$42+E48+E48+12)*PI()</f>
        <v>879.33178373978308</v>
      </c>
      <c r="H48" s="161">
        <f t="shared" si="9"/>
        <v>1758.6635674795662</v>
      </c>
      <c r="I48" s="122">
        <f t="shared" si="10"/>
        <v>5.6861358732367036</v>
      </c>
      <c r="J48" s="211">
        <v>49</v>
      </c>
      <c r="K48" s="171">
        <f t="shared" si="7"/>
        <v>8.6174514806498745</v>
      </c>
      <c r="L48" s="66">
        <f t="shared" si="11"/>
        <v>0</v>
      </c>
      <c r="M48" s="171">
        <f t="shared" si="8"/>
        <v>8.6174514806498745</v>
      </c>
    </row>
    <row r="49" spans="1:13" x14ac:dyDescent="0.2">
      <c r="A49" s="60"/>
      <c r="B49" s="12"/>
      <c r="C49" s="237"/>
      <c r="D49" s="120" t="s">
        <v>116</v>
      </c>
      <c r="E49" s="65">
        <v>40</v>
      </c>
      <c r="F49" s="158">
        <v>4</v>
      </c>
      <c r="G49" s="159">
        <f>($C$42+E49+E49+4)*PI()+($C$42+E49+E49+8)*PI()+($C$42+E49+E49+12)*PI()+($C$42+E49+E49+16)*PI()</f>
        <v>1398.6370493781758</v>
      </c>
      <c r="H49" s="161">
        <f t="shared" si="9"/>
        <v>2797.2740987563516</v>
      </c>
      <c r="I49" s="122">
        <f t="shared" si="10"/>
        <v>3.5749088744810278</v>
      </c>
      <c r="J49" s="211">
        <v>49</v>
      </c>
      <c r="K49" s="171">
        <f t="shared" si="7"/>
        <v>13.706643083906123</v>
      </c>
      <c r="L49" s="66">
        <f t="shared" si="11"/>
        <v>0</v>
      </c>
      <c r="M49" s="171">
        <f t="shared" si="8"/>
        <v>13.706643083906123</v>
      </c>
    </row>
    <row r="50" spans="1:13" x14ac:dyDescent="0.2">
      <c r="A50" s="60"/>
      <c r="B50" s="12"/>
      <c r="C50" s="237"/>
      <c r="D50" s="120" t="s">
        <v>116</v>
      </c>
      <c r="E50" s="65">
        <v>50</v>
      </c>
      <c r="F50" s="158">
        <v>4</v>
      </c>
      <c r="G50" s="159">
        <f>($C$42+E50+E50+4)*PI()+($C$42+E50+E50+8)*PI()+($C$42+E50+E50+12)*PI()+($C$42+E50+E50+16)*PI()</f>
        <v>1649.9644616653593</v>
      </c>
      <c r="H50" s="161">
        <f t="shared" si="9"/>
        <v>3299.9289233307186</v>
      </c>
      <c r="I50" s="122">
        <f t="shared" si="10"/>
        <v>3.0303682995410388</v>
      </c>
      <c r="J50" s="211">
        <v>49</v>
      </c>
      <c r="K50" s="171">
        <f t="shared" si="7"/>
        <v>16.16965172432052</v>
      </c>
      <c r="L50" s="66">
        <f t="shared" si="11"/>
        <v>0</v>
      </c>
      <c r="M50" s="171">
        <f t="shared" si="8"/>
        <v>16.16965172432052</v>
      </c>
    </row>
    <row r="51" spans="1:13" x14ac:dyDescent="0.2">
      <c r="A51" s="60"/>
      <c r="B51" s="12"/>
      <c r="C51" s="237">
        <v>26.9</v>
      </c>
      <c r="D51" s="120" t="s">
        <v>116</v>
      </c>
      <c r="E51" s="65">
        <v>9</v>
      </c>
      <c r="F51" s="158">
        <v>1</v>
      </c>
      <c r="G51" s="159">
        <f>($C$51+E51+E51+4)*PI()</f>
        <v>153.62388076054089</v>
      </c>
      <c r="H51" s="161">
        <f t="shared" si="9"/>
        <v>307.24776152108177</v>
      </c>
      <c r="I51" s="122">
        <f t="shared" si="10"/>
        <v>32.547023127176963</v>
      </c>
      <c r="J51" s="211">
        <v>49</v>
      </c>
      <c r="K51" s="171">
        <f t="shared" si="7"/>
        <v>1.5055140314533006</v>
      </c>
      <c r="L51" s="66">
        <f t="shared" si="11"/>
        <v>0</v>
      </c>
      <c r="M51" s="171">
        <f>K51*(1-L51)</f>
        <v>1.5055140314533006</v>
      </c>
    </row>
    <row r="52" spans="1:13" x14ac:dyDescent="0.2">
      <c r="A52" s="60"/>
      <c r="B52" s="12"/>
      <c r="C52" s="237"/>
      <c r="D52" s="120" t="s">
        <v>116</v>
      </c>
      <c r="E52" s="65">
        <v>10</v>
      </c>
      <c r="F52" s="158">
        <v>2</v>
      </c>
      <c r="G52" s="159">
        <f>($C$51+E52+E52+4)*PI()+($C$51+E52+E52+8)*PI()</f>
        <v>332.38050274980014</v>
      </c>
      <c r="H52" s="161">
        <f t="shared" si="9"/>
        <v>664.76100549960029</v>
      </c>
      <c r="I52" s="122">
        <f t="shared" si="10"/>
        <v>15.043000292239634</v>
      </c>
      <c r="J52" s="211">
        <v>49</v>
      </c>
      <c r="K52" s="171">
        <f t="shared" si="7"/>
        <v>3.2573289269480412</v>
      </c>
      <c r="L52" s="66">
        <f t="shared" si="11"/>
        <v>0</v>
      </c>
      <c r="M52" s="171">
        <f t="shared" si="8"/>
        <v>3.2573289269480412</v>
      </c>
    </row>
    <row r="53" spans="1:13" x14ac:dyDescent="0.2">
      <c r="A53" s="60"/>
      <c r="B53" s="12"/>
      <c r="C53" s="237"/>
      <c r="D53" s="120" t="s">
        <v>116</v>
      </c>
      <c r="E53" s="65">
        <v>13</v>
      </c>
      <c r="F53" s="158">
        <v>2</v>
      </c>
      <c r="G53" s="159">
        <f>($C$51+E53+E53+4)*PI()+($C$51+E53+E53+8)*PI()</f>
        <v>370.07961459287765</v>
      </c>
      <c r="H53" s="161">
        <f t="shared" si="9"/>
        <v>740.15922918575529</v>
      </c>
      <c r="I53" s="122">
        <f t="shared" si="10"/>
        <v>13.510606374524222</v>
      </c>
      <c r="J53" s="211">
        <v>49</v>
      </c>
      <c r="K53" s="171">
        <f t="shared" si="7"/>
        <v>3.6267802230102006</v>
      </c>
      <c r="L53" s="66">
        <f t="shared" si="11"/>
        <v>0</v>
      </c>
      <c r="M53" s="171">
        <f t="shared" si="8"/>
        <v>3.6267802230102006</v>
      </c>
    </row>
    <row r="54" spans="1:13" x14ac:dyDescent="0.2">
      <c r="A54" s="60"/>
      <c r="B54" s="12"/>
      <c r="C54" s="237"/>
      <c r="D54" s="120" t="s">
        <v>116</v>
      </c>
      <c r="E54" s="65">
        <v>16</v>
      </c>
      <c r="F54" s="158">
        <v>2</v>
      </c>
      <c r="G54" s="159">
        <f>($C$51+E54+E54+4)*PI()+($C$51+E54+E54+8)*PI()</f>
        <v>407.77872643595515</v>
      </c>
      <c r="H54" s="161">
        <f t="shared" si="9"/>
        <v>815.5574528719103</v>
      </c>
      <c r="I54" s="122">
        <f t="shared" si="10"/>
        <v>12.261551856078224</v>
      </c>
      <c r="J54" s="211">
        <v>49</v>
      </c>
      <c r="K54" s="171">
        <f t="shared" si="7"/>
        <v>3.9962315190723601</v>
      </c>
      <c r="L54" s="66">
        <f t="shared" si="11"/>
        <v>0</v>
      </c>
      <c r="M54" s="171">
        <f t="shared" si="8"/>
        <v>3.9962315190723601</v>
      </c>
    </row>
    <row r="55" spans="1:13" x14ac:dyDescent="0.2">
      <c r="A55" s="60"/>
      <c r="B55" s="12"/>
      <c r="C55" s="237"/>
      <c r="D55" s="120" t="s">
        <v>116</v>
      </c>
      <c r="E55" s="65">
        <v>19</v>
      </c>
      <c r="F55" s="158">
        <v>2</v>
      </c>
      <c r="G55" s="159">
        <f>($C$51+E55+E55+4)*PI()+($C$51+E55+E55+8)*PI()</f>
        <v>445.47783827903271</v>
      </c>
      <c r="H55" s="161">
        <f t="shared" si="9"/>
        <v>890.95567655806542</v>
      </c>
      <c r="I55" s="122">
        <f t="shared" si="10"/>
        <v>11.223902897876963</v>
      </c>
      <c r="J55" s="211">
        <v>49</v>
      </c>
      <c r="K55" s="171">
        <f t="shared" si="7"/>
        <v>4.3656828151345204</v>
      </c>
      <c r="L55" s="66">
        <f t="shared" si="11"/>
        <v>0</v>
      </c>
      <c r="M55" s="171">
        <f t="shared" si="8"/>
        <v>4.3656828151345204</v>
      </c>
    </row>
    <row r="56" spans="1:13" x14ac:dyDescent="0.2">
      <c r="A56" s="60"/>
      <c r="B56" s="12"/>
      <c r="C56" s="237"/>
      <c r="D56" s="120" t="s">
        <v>116</v>
      </c>
      <c r="E56" s="65">
        <v>25</v>
      </c>
      <c r="F56" s="158">
        <v>3</v>
      </c>
      <c r="G56" s="159">
        <f>($C$51+E56+E56+4)*PI()+($C$51+E56+E56+8)*PI()+($C$51+E56+E56+12)*PI()</f>
        <v>800.16364886932047</v>
      </c>
      <c r="H56" s="161">
        <f t="shared" si="9"/>
        <v>1600.3272977386409</v>
      </c>
      <c r="I56" s="122">
        <f t="shared" si="10"/>
        <v>6.2487217546876836</v>
      </c>
      <c r="J56" s="211">
        <v>49</v>
      </c>
      <c r="K56" s="171">
        <f t="shared" si="7"/>
        <v>7.8416037589193408</v>
      </c>
      <c r="L56" s="66">
        <f t="shared" si="11"/>
        <v>0</v>
      </c>
      <c r="M56" s="171">
        <f t="shared" si="8"/>
        <v>7.8416037589193408</v>
      </c>
    </row>
    <row r="57" spans="1:13" x14ac:dyDescent="0.2">
      <c r="A57" s="60"/>
      <c r="B57" s="12"/>
      <c r="C57" s="237"/>
      <c r="D57" s="120" t="s">
        <v>116</v>
      </c>
      <c r="E57" s="65">
        <v>32</v>
      </c>
      <c r="F57" s="158">
        <v>3</v>
      </c>
      <c r="G57" s="159">
        <f>($C$51+E57+E57+4)*PI()+($C$51+E57+E57+8)*PI()+($C$51+E57+E57+12)*PI()</f>
        <v>932.11054032009156</v>
      </c>
      <c r="H57" s="161">
        <f t="shared" si="9"/>
        <v>1864.2210806401831</v>
      </c>
      <c r="I57" s="122">
        <f t="shared" si="10"/>
        <v>5.3641706468451416</v>
      </c>
      <c r="J57" s="211">
        <v>49</v>
      </c>
      <c r="K57" s="171">
        <f t="shared" si="7"/>
        <v>9.134683295136897</v>
      </c>
      <c r="L57" s="66">
        <f t="shared" si="11"/>
        <v>0</v>
      </c>
      <c r="M57" s="171">
        <f t="shared" si="8"/>
        <v>9.134683295136897</v>
      </c>
    </row>
    <row r="58" spans="1:13" x14ac:dyDescent="0.2">
      <c r="A58" s="60"/>
      <c r="B58" s="12"/>
      <c r="C58" s="237"/>
      <c r="D58" s="120" t="s">
        <v>116</v>
      </c>
      <c r="E58" s="65">
        <v>40</v>
      </c>
      <c r="F58" s="158">
        <v>4</v>
      </c>
      <c r="G58" s="159">
        <f>($C$51+E58+E58+4)*PI()+($C$51+E58+E58+8)*PI()+($C$51+E58+E58+12)*PI()+($C$51+E58+E58+16)*PI()</f>
        <v>1469.0087248185873</v>
      </c>
      <c r="H58" s="161">
        <f t="shared" si="9"/>
        <v>2938.0174496371746</v>
      </c>
      <c r="I58" s="122">
        <f t="shared" si="10"/>
        <v>3.4036557547454094</v>
      </c>
      <c r="J58" s="211">
        <v>49</v>
      </c>
      <c r="K58" s="171">
        <f t="shared" si="7"/>
        <v>14.396285503222154</v>
      </c>
      <c r="L58" s="66">
        <f t="shared" si="11"/>
        <v>0</v>
      </c>
      <c r="M58" s="171">
        <f t="shared" si="8"/>
        <v>14.396285503222154</v>
      </c>
    </row>
    <row r="59" spans="1:13" x14ac:dyDescent="0.2">
      <c r="A59" s="60"/>
      <c r="B59" s="12"/>
      <c r="C59" s="237"/>
      <c r="D59" s="120" t="s">
        <v>116</v>
      </c>
      <c r="E59" s="65">
        <v>50</v>
      </c>
      <c r="F59" s="158">
        <v>4</v>
      </c>
      <c r="G59" s="159">
        <f>($C$51+E59+E59+4)*PI()+($C$51+E59+E59+8)*PI()+($C$51+E59+E59+12)*PI()+($C$51+E59+E59+16)*PI()</f>
        <v>1720.3361371057706</v>
      </c>
      <c r="H59" s="161">
        <f t="shared" si="9"/>
        <v>3440.6722742115412</v>
      </c>
      <c r="I59" s="122">
        <f t="shared" si="10"/>
        <v>2.9064087489389219</v>
      </c>
      <c r="J59" s="211">
        <v>49</v>
      </c>
      <c r="K59" s="171">
        <f t="shared" si="7"/>
        <v>16.85929414363655</v>
      </c>
      <c r="L59" s="66">
        <f t="shared" si="11"/>
        <v>0</v>
      </c>
      <c r="M59" s="171">
        <f t="shared" si="8"/>
        <v>16.85929414363655</v>
      </c>
    </row>
    <row r="60" spans="1:13" x14ac:dyDescent="0.2">
      <c r="A60" s="60"/>
      <c r="B60" s="12"/>
      <c r="C60" s="237">
        <v>33.700000000000003</v>
      </c>
      <c r="D60" s="120" t="s">
        <v>116</v>
      </c>
      <c r="E60" s="65">
        <v>9</v>
      </c>
      <c r="F60" s="158">
        <v>1</v>
      </c>
      <c r="G60" s="159">
        <f>($C$60+E60+E60+4)*PI()</f>
        <v>174.98671080495149</v>
      </c>
      <c r="H60" s="161">
        <f t="shared" si="9"/>
        <v>349.97342160990297</v>
      </c>
      <c r="I60" s="122">
        <f t="shared" si="10"/>
        <v>28.573598400699343</v>
      </c>
      <c r="J60" s="211">
        <v>49</v>
      </c>
      <c r="K60" s="171">
        <f t="shared" si="7"/>
        <v>1.7148697658885246</v>
      </c>
      <c r="L60" s="66">
        <f t="shared" si="11"/>
        <v>0</v>
      </c>
      <c r="M60" s="171">
        <f t="shared" si="8"/>
        <v>1.7148697658885246</v>
      </c>
    </row>
    <row r="61" spans="1:13" x14ac:dyDescent="0.2">
      <c r="A61" s="60"/>
      <c r="B61" s="12"/>
      <c r="C61" s="237"/>
      <c r="D61" s="120" t="s">
        <v>116</v>
      </c>
      <c r="E61" s="65">
        <v>10</v>
      </c>
      <c r="F61" s="158">
        <v>2</v>
      </c>
      <c r="G61" s="159">
        <f>($C$60+E61+E61+4)*PI()+($C$60+E61+E61+8)*PI()</f>
        <v>375.10616283862134</v>
      </c>
      <c r="H61" s="161">
        <f t="shared" si="9"/>
        <v>750.21232567724269</v>
      </c>
      <c r="I61" s="122">
        <f t="shared" si="10"/>
        <v>13.329559722939306</v>
      </c>
      <c r="J61" s="211">
        <v>49</v>
      </c>
      <c r="K61" s="171">
        <f t="shared" si="7"/>
        <v>3.6760403958184891</v>
      </c>
      <c r="L61" s="66">
        <f t="shared" si="11"/>
        <v>0</v>
      </c>
      <c r="M61" s="171">
        <f t="shared" si="8"/>
        <v>3.6760403958184891</v>
      </c>
    </row>
    <row r="62" spans="1:13" x14ac:dyDescent="0.2">
      <c r="A62" s="60"/>
      <c r="B62" s="12"/>
      <c r="C62" s="237"/>
      <c r="D62" s="120" t="s">
        <v>116</v>
      </c>
      <c r="E62" s="65">
        <v>13</v>
      </c>
      <c r="F62" s="158">
        <v>2</v>
      </c>
      <c r="G62" s="159">
        <f>($C$60+E62+E62+4)*PI()+($C$60+E62+E62+8)*PI()</f>
        <v>412.80527468169885</v>
      </c>
      <c r="H62" s="161">
        <f t="shared" si="9"/>
        <v>825.61054936339769</v>
      </c>
      <c r="I62" s="122">
        <f t="shared" si="10"/>
        <v>12.11224833271654</v>
      </c>
      <c r="J62" s="211">
        <v>49</v>
      </c>
      <c r="K62" s="171">
        <f t="shared" si="7"/>
        <v>4.0454916918806489</v>
      </c>
      <c r="L62" s="66">
        <f t="shared" si="11"/>
        <v>0</v>
      </c>
      <c r="M62" s="171">
        <f t="shared" si="8"/>
        <v>4.0454916918806489</v>
      </c>
    </row>
    <row r="63" spans="1:13" x14ac:dyDescent="0.2">
      <c r="A63" s="60"/>
      <c r="B63" s="12"/>
      <c r="C63" s="237"/>
      <c r="D63" s="120" t="s">
        <v>116</v>
      </c>
      <c r="E63" s="65">
        <v>16</v>
      </c>
      <c r="F63" s="158">
        <v>2</v>
      </c>
      <c r="G63" s="159">
        <f>($C$60+E63+E63+4)*PI()+($C$60+E63+E63+8)*PI()</f>
        <v>450.50438652477635</v>
      </c>
      <c r="H63" s="161">
        <f t="shared" si="9"/>
        <v>901.0087730495527</v>
      </c>
      <c r="I63" s="122">
        <f t="shared" si="10"/>
        <v>11.098671066380428</v>
      </c>
      <c r="J63" s="211">
        <v>49</v>
      </c>
      <c r="K63" s="171">
        <f t="shared" si="7"/>
        <v>4.4149429879428084</v>
      </c>
      <c r="L63" s="66">
        <f t="shared" si="11"/>
        <v>0</v>
      </c>
      <c r="M63" s="171">
        <f t="shared" si="8"/>
        <v>4.4149429879428084</v>
      </c>
    </row>
    <row r="64" spans="1:13" x14ac:dyDescent="0.2">
      <c r="A64" s="60"/>
      <c r="B64" s="12"/>
      <c r="C64" s="237"/>
      <c r="D64" s="120" t="s">
        <v>116</v>
      </c>
      <c r="E64" s="65">
        <v>19</v>
      </c>
      <c r="F64" s="158">
        <v>2</v>
      </c>
      <c r="G64" s="159">
        <f>($C$60+E64+E64+4)*PI()+($C$60+E64+E64+8)*PI()</f>
        <v>488.20349836785385</v>
      </c>
      <c r="H64" s="161">
        <f t="shared" si="9"/>
        <v>976.40699673570771</v>
      </c>
      <c r="I64" s="122">
        <f t="shared" si="10"/>
        <v>10.241630829594294</v>
      </c>
      <c r="J64" s="211">
        <v>49</v>
      </c>
      <c r="K64" s="171">
        <f t="shared" si="7"/>
        <v>4.7843942840049678</v>
      </c>
      <c r="L64" s="66">
        <f t="shared" si="11"/>
        <v>0</v>
      </c>
      <c r="M64" s="171">
        <f t="shared" si="8"/>
        <v>4.7843942840049678</v>
      </c>
    </row>
    <row r="65" spans="1:13" x14ac:dyDescent="0.2">
      <c r="A65" s="60"/>
      <c r="B65" s="12"/>
      <c r="C65" s="237"/>
      <c r="D65" s="120" t="s">
        <v>116</v>
      </c>
      <c r="E65" s="65">
        <v>25</v>
      </c>
      <c r="F65" s="158">
        <v>3</v>
      </c>
      <c r="G65" s="159">
        <f>($C$60+E65+E65+4)*PI()+($C$60+E65+E65+8)*PI()+($C$60+E65+E65+12)*PI()</f>
        <v>864.2521390025521</v>
      </c>
      <c r="H65" s="161">
        <f t="shared" si="9"/>
        <v>1728.5042780051042</v>
      </c>
      <c r="I65" s="122">
        <f t="shared" si="10"/>
        <v>5.7853487129005936</v>
      </c>
      <c r="J65" s="211">
        <v>49</v>
      </c>
      <c r="K65" s="171">
        <f t="shared" si="7"/>
        <v>8.4696709622250115</v>
      </c>
      <c r="L65" s="66">
        <f t="shared" si="11"/>
        <v>0</v>
      </c>
      <c r="M65" s="171">
        <f t="shared" si="8"/>
        <v>8.4696709622250115</v>
      </c>
    </row>
    <row r="66" spans="1:13" x14ac:dyDescent="0.2">
      <c r="A66" s="60"/>
      <c r="B66" s="12"/>
      <c r="C66" s="237"/>
      <c r="D66" s="120" t="s">
        <v>116</v>
      </c>
      <c r="E66" s="65">
        <v>32</v>
      </c>
      <c r="F66" s="158">
        <v>3</v>
      </c>
      <c r="G66" s="159">
        <f>($C$60+E66+E66+4)*PI()+($C$60+E66+E66+8)*PI()+($C$60+E66+E66+12)*PI()</f>
        <v>996.19903045332342</v>
      </c>
      <c r="H66" s="161">
        <f t="shared" si="9"/>
        <v>1992.3980609066468</v>
      </c>
      <c r="I66" s="122">
        <f t="shared" si="10"/>
        <v>5.0190773601985281</v>
      </c>
      <c r="J66" s="211">
        <v>49</v>
      </c>
      <c r="K66" s="171">
        <f t="shared" si="7"/>
        <v>9.7627504984425695</v>
      </c>
      <c r="L66" s="66">
        <f t="shared" si="11"/>
        <v>0</v>
      </c>
      <c r="M66" s="171">
        <f t="shared" si="8"/>
        <v>9.7627504984425695</v>
      </c>
    </row>
    <row r="67" spans="1:13" x14ac:dyDescent="0.2">
      <c r="A67" s="60"/>
      <c r="B67" s="12"/>
      <c r="C67" s="237"/>
      <c r="D67" s="120" t="s">
        <v>116</v>
      </c>
      <c r="E67" s="65">
        <v>40</v>
      </c>
      <c r="F67" s="158">
        <v>4</v>
      </c>
      <c r="G67" s="159">
        <f>($C$60+E67+E67+4)*PI()+($C$60+E67+E67+8)*PI()+($C$60+E67+E67+12)*PI()+($C$60+E67+E67+16)*PI()</f>
        <v>1554.4600449962297</v>
      </c>
      <c r="H67" s="161">
        <f t="shared" si="9"/>
        <v>3108.9200899924595</v>
      </c>
      <c r="I67" s="122">
        <f t="shared" si="10"/>
        <v>3.2165509921563324</v>
      </c>
      <c r="J67" s="211">
        <v>49</v>
      </c>
      <c r="K67" s="171">
        <f t="shared" si="7"/>
        <v>15.233708440963051</v>
      </c>
      <c r="L67" s="66">
        <f t="shared" si="11"/>
        <v>0</v>
      </c>
      <c r="M67" s="171">
        <f t="shared" si="8"/>
        <v>15.233708440963051</v>
      </c>
    </row>
    <row r="68" spans="1:13" x14ac:dyDescent="0.2">
      <c r="A68" s="60"/>
      <c r="B68" s="12"/>
      <c r="C68" s="237"/>
      <c r="D68" s="120" t="s">
        <v>116</v>
      </c>
      <c r="E68" s="65">
        <v>50</v>
      </c>
      <c r="F68" s="158">
        <v>4</v>
      </c>
      <c r="G68" s="159">
        <f>($C$60+E68+E68+4)*PI()+($C$60+E68+E68+8)*PI()+($C$60+E68+E68+12)*PI()+($C$60+E68+E68+16)*PI()</f>
        <v>1805.787457283413</v>
      </c>
      <c r="H68" s="161">
        <f t="shared" si="9"/>
        <v>3611.574914566826</v>
      </c>
      <c r="I68" s="122">
        <f t="shared" si="10"/>
        <v>2.7688751407775807</v>
      </c>
      <c r="J68" s="211">
        <v>49</v>
      </c>
      <c r="K68" s="171">
        <f t="shared" si="7"/>
        <v>17.69671708137745</v>
      </c>
      <c r="L68" s="66">
        <f t="shared" si="11"/>
        <v>0</v>
      </c>
      <c r="M68" s="171">
        <f t="shared" si="8"/>
        <v>17.69671708137745</v>
      </c>
    </row>
    <row r="69" spans="1:13" x14ac:dyDescent="0.2">
      <c r="A69" s="60"/>
      <c r="B69" s="12"/>
      <c r="C69" s="253">
        <v>42.4</v>
      </c>
      <c r="D69" s="120" t="s">
        <v>116</v>
      </c>
      <c r="E69" s="132">
        <v>9</v>
      </c>
      <c r="F69" s="158">
        <v>1</v>
      </c>
      <c r="G69" s="159">
        <f>($C$69+E69+E69+4)*PI()</f>
        <v>202.31856689118268</v>
      </c>
      <c r="H69" s="161">
        <f t="shared" si="9"/>
        <v>404.63713378236537</v>
      </c>
      <c r="I69" s="122">
        <f t="shared" si="10"/>
        <v>24.713500480107971</v>
      </c>
      <c r="J69" s="211">
        <v>49</v>
      </c>
      <c r="K69" s="171">
        <f t="shared" si="7"/>
        <v>1.9827219555335904</v>
      </c>
      <c r="L69" s="66">
        <f t="shared" si="11"/>
        <v>0</v>
      </c>
      <c r="M69" s="171">
        <f t="shared" si="8"/>
        <v>1.9827219555335904</v>
      </c>
    </row>
    <row r="70" spans="1:13" x14ac:dyDescent="0.2">
      <c r="A70" s="60"/>
      <c r="B70" s="12"/>
      <c r="C70" s="253"/>
      <c r="D70" s="120" t="s">
        <v>116</v>
      </c>
      <c r="E70" s="132">
        <v>10</v>
      </c>
      <c r="F70" s="158">
        <v>2</v>
      </c>
      <c r="G70" s="159">
        <f>($C$69+E70+E70+4)*PI()+($C$69+E70+E70+8)*PI()</f>
        <v>429.76987501108374</v>
      </c>
      <c r="H70" s="161">
        <f t="shared" si="9"/>
        <v>859.53975002216748</v>
      </c>
      <c r="I70" s="122">
        <f t="shared" si="10"/>
        <v>11.634133266951412</v>
      </c>
      <c r="J70" s="211">
        <v>49</v>
      </c>
      <c r="K70" s="171">
        <f t="shared" si="7"/>
        <v>4.2117447751086212</v>
      </c>
      <c r="L70" s="66">
        <f t="shared" si="11"/>
        <v>0</v>
      </c>
      <c r="M70" s="171">
        <f t="shared" si="8"/>
        <v>4.2117447751086212</v>
      </c>
    </row>
    <row r="71" spans="1:13" x14ac:dyDescent="0.2">
      <c r="A71" s="60"/>
      <c r="B71" s="12"/>
      <c r="C71" s="253"/>
      <c r="D71" s="120" t="s">
        <v>116</v>
      </c>
      <c r="E71" s="132">
        <v>13</v>
      </c>
      <c r="F71" s="158">
        <v>2</v>
      </c>
      <c r="G71" s="159">
        <f>($C$69+E71+E71+4)*PI()+($C$69+E71+E71+8)*PI()</f>
        <v>467.46898685416124</v>
      </c>
      <c r="H71" s="161">
        <f t="shared" si="9"/>
        <v>934.93797370832249</v>
      </c>
      <c r="I71" s="122">
        <f t="shared" si="10"/>
        <v>10.695896713165009</v>
      </c>
      <c r="J71" s="211">
        <v>49</v>
      </c>
      <c r="K71" s="171">
        <f t="shared" si="7"/>
        <v>4.5811960711707798</v>
      </c>
      <c r="L71" s="66">
        <f t="shared" si="11"/>
        <v>0</v>
      </c>
      <c r="M71" s="171">
        <f t="shared" si="8"/>
        <v>4.5811960711707798</v>
      </c>
    </row>
    <row r="72" spans="1:13" x14ac:dyDescent="0.2">
      <c r="A72" s="60"/>
      <c r="B72" s="12"/>
      <c r="C72" s="253"/>
      <c r="D72" s="120" t="s">
        <v>116</v>
      </c>
      <c r="E72" s="132">
        <v>16</v>
      </c>
      <c r="F72" s="158">
        <v>2</v>
      </c>
      <c r="G72" s="159">
        <f>($C$69+E72+E72+4)*PI()+($C$69+E72+E72+8)*PI()</f>
        <v>505.1680986972388</v>
      </c>
      <c r="H72" s="161">
        <f t="shared" si="9"/>
        <v>1010.3361973944776</v>
      </c>
      <c r="I72" s="122">
        <f t="shared" si="10"/>
        <v>9.8976954659138876</v>
      </c>
      <c r="J72" s="211">
        <v>49</v>
      </c>
      <c r="K72" s="171">
        <f t="shared" si="7"/>
        <v>4.9506473672329401</v>
      </c>
      <c r="L72" s="66">
        <f t="shared" si="11"/>
        <v>0</v>
      </c>
      <c r="M72" s="171">
        <f t="shared" si="8"/>
        <v>4.9506473672329401</v>
      </c>
    </row>
    <row r="73" spans="1:13" x14ac:dyDescent="0.2">
      <c r="A73" s="60"/>
      <c r="B73" s="12"/>
      <c r="C73" s="253"/>
      <c r="D73" s="120" t="s">
        <v>116</v>
      </c>
      <c r="E73" s="132">
        <v>19</v>
      </c>
      <c r="F73" s="158">
        <v>2</v>
      </c>
      <c r="G73" s="159">
        <f>($C$69+E73+E73+4)*PI()+($C$69+E73+E73+8)*PI()</f>
        <v>542.86721054031636</v>
      </c>
      <c r="H73" s="161">
        <f t="shared" si="9"/>
        <v>1085.7344210806327</v>
      </c>
      <c r="I73" s="122">
        <f t="shared" si="10"/>
        <v>9.2103555030032016</v>
      </c>
      <c r="J73" s="211">
        <v>49</v>
      </c>
      <c r="K73" s="171">
        <f t="shared" si="7"/>
        <v>5.3200986632950995</v>
      </c>
      <c r="L73" s="66">
        <f t="shared" si="11"/>
        <v>0</v>
      </c>
      <c r="M73" s="171">
        <f t="shared" si="8"/>
        <v>5.3200986632950995</v>
      </c>
    </row>
    <row r="74" spans="1:13" x14ac:dyDescent="0.2">
      <c r="A74" s="60"/>
      <c r="B74" s="12"/>
      <c r="C74" s="253"/>
      <c r="D74" s="120" t="s">
        <v>116</v>
      </c>
      <c r="E74" s="132">
        <v>25</v>
      </c>
      <c r="F74" s="158">
        <v>3</v>
      </c>
      <c r="G74" s="159">
        <f>($C$69+E74+E74+4)*PI()+($C$69+E74+E74+8)*PI()+($C$69+E74+E74+12)*PI()</f>
        <v>946.24770726124575</v>
      </c>
      <c r="H74" s="161">
        <f t="shared" si="9"/>
        <v>1892.4954145224915</v>
      </c>
      <c r="I74" s="122">
        <f t="shared" si="10"/>
        <v>5.2840286551094069</v>
      </c>
      <c r="J74" s="211">
        <v>49</v>
      </c>
      <c r="K74" s="171">
        <f t="shared" si="7"/>
        <v>9.2732275311602077</v>
      </c>
      <c r="L74" s="66">
        <f t="shared" si="11"/>
        <v>0</v>
      </c>
      <c r="M74" s="171">
        <f t="shared" si="8"/>
        <v>9.2732275311602077</v>
      </c>
    </row>
    <row r="75" spans="1:13" x14ac:dyDescent="0.2">
      <c r="A75" s="60"/>
      <c r="B75" s="12"/>
      <c r="C75" s="253"/>
      <c r="D75" s="120" t="s">
        <v>116</v>
      </c>
      <c r="E75" s="132">
        <v>32</v>
      </c>
      <c r="F75" s="158">
        <v>3</v>
      </c>
      <c r="G75" s="159">
        <f>($C$69+E75+E75+4)*PI()+($C$69+E75+E75+8)*PI()+($C$69+E75+E75+12)*PI()</f>
        <v>1078.1945987120171</v>
      </c>
      <c r="H75" s="161">
        <f t="shared" si="9"/>
        <v>2156.3891974240341</v>
      </c>
      <c r="I75" s="122">
        <f t="shared" si="10"/>
        <v>4.637381791721892</v>
      </c>
      <c r="J75" s="211">
        <v>49</v>
      </c>
      <c r="K75" s="171">
        <f t="shared" si="7"/>
        <v>10.566307067377767</v>
      </c>
      <c r="L75" s="66">
        <f t="shared" ref="L75:L106" si="12">$L$42</f>
        <v>0</v>
      </c>
      <c r="M75" s="171">
        <f t="shared" si="8"/>
        <v>10.566307067377767</v>
      </c>
    </row>
    <row r="76" spans="1:13" x14ac:dyDescent="0.2">
      <c r="A76" s="60"/>
      <c r="B76" s="12"/>
      <c r="C76" s="253"/>
      <c r="D76" s="120" t="s">
        <v>116</v>
      </c>
      <c r="E76" s="132">
        <v>40</v>
      </c>
      <c r="F76" s="158">
        <v>4</v>
      </c>
      <c r="G76" s="159">
        <f>($C$69+E76+E76+4)*PI()+($C$69+E76+E76+8)*PI()+($C$69+E76+E76+12)*PI()+($C$69+E76+E76+16)*PI()</f>
        <v>1663.7874693411545</v>
      </c>
      <c r="H76" s="161">
        <f t="shared" si="9"/>
        <v>3327.574938682309</v>
      </c>
      <c r="I76" s="122">
        <f t="shared" si="10"/>
        <v>3.0051915236385072</v>
      </c>
      <c r="J76" s="211">
        <v>49</v>
      </c>
      <c r="K76" s="171">
        <f t="shared" si="7"/>
        <v>16.305117199543314</v>
      </c>
      <c r="L76" s="66">
        <f t="shared" si="12"/>
        <v>0</v>
      </c>
      <c r="M76" s="171">
        <f t="shared" si="8"/>
        <v>16.305117199543314</v>
      </c>
    </row>
    <row r="77" spans="1:13" x14ac:dyDescent="0.2">
      <c r="A77" s="60"/>
      <c r="B77" s="12"/>
      <c r="C77" s="253"/>
      <c r="D77" s="120" t="s">
        <v>116</v>
      </c>
      <c r="E77" s="132">
        <v>50</v>
      </c>
      <c r="F77" s="158">
        <v>4</v>
      </c>
      <c r="G77" s="159">
        <f>($C$69+E77+E77+4)*PI()+($C$69+E77+E77+8)*PI()+($C$69+E77+E77+12)*PI()+($C$69+E77+E77+16)*PI()</f>
        <v>1915.114881628338</v>
      </c>
      <c r="H77" s="161">
        <f t="shared" si="9"/>
        <v>3830.2297632566761</v>
      </c>
      <c r="I77" s="122">
        <f t="shared" si="10"/>
        <v>2.6108094339221677</v>
      </c>
      <c r="J77" s="211">
        <v>49</v>
      </c>
      <c r="K77" s="171">
        <f t="shared" si="7"/>
        <v>18.768125839957712</v>
      </c>
      <c r="L77" s="66">
        <f t="shared" si="12"/>
        <v>0</v>
      </c>
      <c r="M77" s="171">
        <f t="shared" si="8"/>
        <v>18.768125839957712</v>
      </c>
    </row>
    <row r="78" spans="1:13" x14ac:dyDescent="0.2">
      <c r="A78" s="60"/>
      <c r="B78" s="12"/>
      <c r="C78" s="237">
        <v>48.3</v>
      </c>
      <c r="D78" s="120" t="s">
        <v>116</v>
      </c>
      <c r="E78" s="65">
        <v>9</v>
      </c>
      <c r="F78" s="158">
        <v>1</v>
      </c>
      <c r="G78" s="159">
        <f>($C$78+E78+E78+4)*PI()</f>
        <v>220.85396354736244</v>
      </c>
      <c r="H78" s="161">
        <f t="shared" si="9"/>
        <v>441.70792709472488</v>
      </c>
      <c r="I78" s="122">
        <f t="shared" si="10"/>
        <v>22.63939446541897</v>
      </c>
      <c r="J78" s="211">
        <v>49</v>
      </c>
      <c r="K78" s="171">
        <f t="shared" si="7"/>
        <v>2.1643688427641519</v>
      </c>
      <c r="L78" s="66">
        <f t="shared" si="12"/>
        <v>0</v>
      </c>
      <c r="M78" s="171">
        <f t="shared" si="8"/>
        <v>2.1643688427641519</v>
      </c>
    </row>
    <row r="79" spans="1:13" x14ac:dyDescent="0.2">
      <c r="A79" s="60"/>
      <c r="B79" s="12"/>
      <c r="C79" s="237"/>
      <c r="D79" s="120" t="s">
        <v>116</v>
      </c>
      <c r="E79" s="65">
        <v>10</v>
      </c>
      <c r="F79" s="158">
        <v>2</v>
      </c>
      <c r="G79" s="159">
        <f>($C$78+E79+E79+4)*PI()+($C$78+E79+E79+8)*PI()</f>
        <v>466.8406683234432</v>
      </c>
      <c r="H79" s="161">
        <f t="shared" si="9"/>
        <v>933.68133664688639</v>
      </c>
      <c r="I79" s="122">
        <f t="shared" si="10"/>
        <v>10.710292267287709</v>
      </c>
      <c r="J79" s="211">
        <v>49</v>
      </c>
      <c r="K79" s="171">
        <f t="shared" si="7"/>
        <v>4.5750385495697437</v>
      </c>
      <c r="L79" s="66">
        <f t="shared" si="12"/>
        <v>0</v>
      </c>
      <c r="M79" s="171">
        <f t="shared" si="8"/>
        <v>4.5750385495697437</v>
      </c>
    </row>
    <row r="80" spans="1:13" x14ac:dyDescent="0.2">
      <c r="A80" s="60"/>
      <c r="B80" s="12"/>
      <c r="C80" s="237"/>
      <c r="D80" s="120" t="s">
        <v>116</v>
      </c>
      <c r="E80" s="65">
        <v>13</v>
      </c>
      <c r="F80" s="158">
        <v>2</v>
      </c>
      <c r="G80" s="159">
        <f>($C$78+E80+E80+4)*PI()+($C$78+E80+E80+8)*PI()</f>
        <v>504.53978016652076</v>
      </c>
      <c r="H80" s="161">
        <f t="shared" si="9"/>
        <v>1009.0795603330415</v>
      </c>
      <c r="I80" s="122">
        <f t="shared" si="10"/>
        <v>9.9100213631317153</v>
      </c>
      <c r="J80" s="211">
        <v>49</v>
      </c>
      <c r="K80" s="171">
        <f t="shared" si="7"/>
        <v>4.9444898456319031</v>
      </c>
      <c r="L80" s="66">
        <f t="shared" si="12"/>
        <v>0</v>
      </c>
      <c r="M80" s="171">
        <f t="shared" si="8"/>
        <v>4.9444898456319031</v>
      </c>
    </row>
    <row r="81" spans="1:13" x14ac:dyDescent="0.2">
      <c r="A81" s="60"/>
      <c r="B81" s="12"/>
      <c r="C81" s="237"/>
      <c r="D81" s="120" t="s">
        <v>116</v>
      </c>
      <c r="E81" s="65">
        <v>16</v>
      </c>
      <c r="F81" s="158">
        <v>2</v>
      </c>
      <c r="G81" s="159">
        <f>($C$78+E81+E81+4)*PI()+($C$78+E81+E81+8)*PI()</f>
        <v>542.2388920095982</v>
      </c>
      <c r="H81" s="161">
        <f t="shared" si="9"/>
        <v>1084.4777840191964</v>
      </c>
      <c r="I81" s="122">
        <f t="shared" si="10"/>
        <v>9.2210279891017013</v>
      </c>
      <c r="J81" s="211">
        <v>49</v>
      </c>
      <c r="K81" s="171">
        <f t="shared" si="7"/>
        <v>5.3139411416940625</v>
      </c>
      <c r="L81" s="66">
        <f t="shared" si="12"/>
        <v>0</v>
      </c>
      <c r="M81" s="171">
        <f t="shared" si="8"/>
        <v>5.3139411416940625</v>
      </c>
    </row>
    <row r="82" spans="1:13" x14ac:dyDescent="0.2">
      <c r="A82" s="60"/>
      <c r="B82" s="12"/>
      <c r="C82" s="237"/>
      <c r="D82" s="120" t="s">
        <v>116</v>
      </c>
      <c r="E82" s="65">
        <v>19</v>
      </c>
      <c r="F82" s="158">
        <v>2</v>
      </c>
      <c r="G82" s="159">
        <f>($C$78+E82+E82+4)*PI()+($C$78+E82+E82+8)*PI()</f>
        <v>579.93800385267582</v>
      </c>
      <c r="H82" s="161">
        <f t="shared" si="9"/>
        <v>1159.8760077053516</v>
      </c>
      <c r="I82" s="122">
        <f t="shared" si="10"/>
        <v>8.6216112184125322</v>
      </c>
      <c r="J82" s="211">
        <v>49</v>
      </c>
      <c r="K82" s="171">
        <f t="shared" si="7"/>
        <v>5.6833924377562228</v>
      </c>
      <c r="L82" s="66">
        <f t="shared" si="12"/>
        <v>0</v>
      </c>
      <c r="M82" s="171">
        <f t="shared" si="8"/>
        <v>5.6833924377562228</v>
      </c>
    </row>
    <row r="83" spans="1:13" x14ac:dyDescent="0.2">
      <c r="A83" s="60"/>
      <c r="B83" s="12"/>
      <c r="C83" s="237"/>
      <c r="D83" s="120" t="s">
        <v>116</v>
      </c>
      <c r="E83" s="65">
        <v>25</v>
      </c>
      <c r="F83" s="158">
        <v>3</v>
      </c>
      <c r="G83" s="159">
        <f>($C$78+E83+E83+4)*PI()+($C$78+E83+E83+8)*PI()+($C$78+E83+E83+12)*PI()</f>
        <v>1001.8538972297849</v>
      </c>
      <c r="H83" s="161">
        <f t="shared" si="9"/>
        <v>2003.7077944595699</v>
      </c>
      <c r="I83" s="122">
        <f t="shared" si="10"/>
        <v>4.9907476667261008</v>
      </c>
      <c r="J83" s="211">
        <v>49</v>
      </c>
      <c r="K83" s="171">
        <f t="shared" si="7"/>
        <v>9.8181681928518927</v>
      </c>
      <c r="L83" s="66">
        <f t="shared" si="12"/>
        <v>0</v>
      </c>
      <c r="M83" s="171">
        <f t="shared" si="8"/>
        <v>9.8181681928518927</v>
      </c>
    </row>
    <row r="84" spans="1:13" x14ac:dyDescent="0.2">
      <c r="A84" s="60"/>
      <c r="B84" s="12"/>
      <c r="C84" s="237"/>
      <c r="D84" s="120" t="s">
        <v>116</v>
      </c>
      <c r="E84" s="65">
        <v>32</v>
      </c>
      <c r="F84" s="158">
        <v>3</v>
      </c>
      <c r="G84" s="159">
        <f>($C$78+E84+E84+4)*PI()+($C$78+E84+E84+8)*PI()+($C$78+E84+E84+12)*PI()</f>
        <v>1133.8007886805563</v>
      </c>
      <c r="H84" s="161">
        <f t="shared" si="9"/>
        <v>2267.6015773611125</v>
      </c>
      <c r="I84" s="122">
        <f t="shared" si="10"/>
        <v>4.4099457769990398</v>
      </c>
      <c r="J84" s="211">
        <v>49</v>
      </c>
      <c r="K84" s="171">
        <f t="shared" si="7"/>
        <v>11.111247729069452</v>
      </c>
      <c r="L84" s="66">
        <f t="shared" si="12"/>
        <v>0</v>
      </c>
      <c r="M84" s="171">
        <f t="shared" si="8"/>
        <v>11.111247729069452</v>
      </c>
    </row>
    <row r="85" spans="1:13" x14ac:dyDescent="0.2">
      <c r="A85" s="60"/>
      <c r="B85" s="12"/>
      <c r="C85" s="237"/>
      <c r="D85" s="120" t="s">
        <v>116</v>
      </c>
      <c r="E85" s="65">
        <v>40</v>
      </c>
      <c r="F85" s="158">
        <v>4</v>
      </c>
      <c r="G85" s="159">
        <f>($C$78+E85+E85+4)*PI()+($C$78+E85+E85+8)*PI()+($C$78+E85+E85+12)*PI()+($C$78+E85+E85+16)*PI()</f>
        <v>1737.9290559658737</v>
      </c>
      <c r="H85" s="161">
        <f t="shared" si="9"/>
        <v>3475.8581119317473</v>
      </c>
      <c r="I85" s="122">
        <f t="shared" si="10"/>
        <v>2.876987402239612</v>
      </c>
      <c r="J85" s="211">
        <v>49</v>
      </c>
      <c r="K85" s="171">
        <f t="shared" si="7"/>
        <v>17.031704748465561</v>
      </c>
      <c r="L85" s="66">
        <f t="shared" si="12"/>
        <v>0</v>
      </c>
      <c r="M85" s="171">
        <f t="shared" si="8"/>
        <v>17.031704748465561</v>
      </c>
    </row>
    <row r="86" spans="1:13" x14ac:dyDescent="0.2">
      <c r="A86" s="60"/>
      <c r="B86" s="12"/>
      <c r="C86" s="237"/>
      <c r="D86" s="120" t="s">
        <v>116</v>
      </c>
      <c r="E86" s="65">
        <v>50</v>
      </c>
      <c r="F86" s="158">
        <v>4</v>
      </c>
      <c r="G86" s="159">
        <f>($C$78+E86+E86+4)*PI()+($C$78+E86+E86+8)*PI()+($C$78+E86+E86+12)*PI()+($C$78+E86+E86+16)*PI()</f>
        <v>1989.2564682530572</v>
      </c>
      <c r="H86" s="161">
        <f t="shared" si="9"/>
        <v>3978.5129365061143</v>
      </c>
      <c r="I86" s="122">
        <f t="shared" si="10"/>
        <v>2.513501943965498</v>
      </c>
      <c r="J86" s="211">
        <v>49</v>
      </c>
      <c r="K86" s="171">
        <f t="shared" si="7"/>
        <v>19.494713388879958</v>
      </c>
      <c r="L86" s="66">
        <f t="shared" si="12"/>
        <v>0</v>
      </c>
      <c r="M86" s="171">
        <f t="shared" si="8"/>
        <v>19.494713388879958</v>
      </c>
    </row>
    <row r="87" spans="1:13" x14ac:dyDescent="0.2">
      <c r="A87" s="60"/>
      <c r="B87" s="12"/>
      <c r="C87" s="237">
        <v>60.3</v>
      </c>
      <c r="D87" s="120" t="s">
        <v>116</v>
      </c>
      <c r="E87" s="65">
        <v>9</v>
      </c>
      <c r="F87" s="158">
        <v>1</v>
      </c>
      <c r="G87" s="159">
        <f>($C$87+E87+E87+4)*PI()</f>
        <v>258.55307539043997</v>
      </c>
      <c r="H87" s="161">
        <f t="shared" si="9"/>
        <v>517.10615078087994</v>
      </c>
      <c r="I87" s="122">
        <f t="shared" si="10"/>
        <v>19.338389197071123</v>
      </c>
      <c r="J87" s="211">
        <v>49</v>
      </c>
      <c r="K87" s="171">
        <f t="shared" si="7"/>
        <v>2.5338201388263117</v>
      </c>
      <c r="L87" s="66">
        <f t="shared" si="12"/>
        <v>0</v>
      </c>
      <c r="M87" s="171">
        <f t="shared" si="8"/>
        <v>2.5338201388263117</v>
      </c>
    </row>
    <row r="88" spans="1:13" x14ac:dyDescent="0.2">
      <c r="A88" s="60"/>
      <c r="B88" s="12"/>
      <c r="C88" s="237"/>
      <c r="D88" s="120" t="s">
        <v>116</v>
      </c>
      <c r="E88" s="65">
        <v>10</v>
      </c>
      <c r="F88" s="158">
        <v>2</v>
      </c>
      <c r="G88" s="159">
        <f>($C$87+E88+E88+4)*PI()+($C$87+E88+E88+8)*PI()</f>
        <v>542.2388920095982</v>
      </c>
      <c r="H88" s="161">
        <f t="shared" si="9"/>
        <v>1084.4777840191964</v>
      </c>
      <c r="I88" s="122">
        <f t="shared" si="10"/>
        <v>9.2210279891017013</v>
      </c>
      <c r="J88" s="211">
        <v>49</v>
      </c>
      <c r="K88" s="171">
        <f t="shared" si="7"/>
        <v>5.3139411416940625</v>
      </c>
      <c r="L88" s="66">
        <f t="shared" si="12"/>
        <v>0</v>
      </c>
      <c r="M88" s="171">
        <f t="shared" si="8"/>
        <v>5.3139411416940625</v>
      </c>
    </row>
    <row r="89" spans="1:13" x14ac:dyDescent="0.2">
      <c r="A89" s="60"/>
      <c r="B89" s="12"/>
      <c r="C89" s="237"/>
      <c r="D89" s="120" t="s">
        <v>116</v>
      </c>
      <c r="E89" s="65">
        <v>13</v>
      </c>
      <c r="F89" s="158">
        <v>2</v>
      </c>
      <c r="G89" s="159">
        <f>($C$87+E89+E89+4)*PI()+($C$87+E89+E89+8)*PI()</f>
        <v>579.93800385267582</v>
      </c>
      <c r="H89" s="161">
        <f t="shared" si="9"/>
        <v>1159.8760077053516</v>
      </c>
      <c r="I89" s="122">
        <f t="shared" si="10"/>
        <v>8.6216112184125322</v>
      </c>
      <c r="J89" s="211">
        <v>49</v>
      </c>
      <c r="K89" s="171">
        <f t="shared" si="7"/>
        <v>5.6833924377562228</v>
      </c>
      <c r="L89" s="66">
        <f t="shared" si="12"/>
        <v>0</v>
      </c>
      <c r="M89" s="171">
        <f t="shared" si="8"/>
        <v>5.6833924377562228</v>
      </c>
    </row>
    <row r="90" spans="1:13" x14ac:dyDescent="0.2">
      <c r="A90" s="60"/>
      <c r="B90" s="12"/>
      <c r="C90" s="237"/>
      <c r="D90" s="120" t="s">
        <v>116</v>
      </c>
      <c r="E90" s="65">
        <v>16</v>
      </c>
      <c r="F90" s="158">
        <v>2</v>
      </c>
      <c r="G90" s="159">
        <f>($C$87+E90+E90+4)*PI()+($C$87+E90+E90+8)*PI()</f>
        <v>617.63711569575321</v>
      </c>
      <c r="H90" s="161">
        <f t="shared" si="9"/>
        <v>1235.2742313915064</v>
      </c>
      <c r="I90" s="122">
        <f t="shared" si="10"/>
        <v>8.0953684176955942</v>
      </c>
      <c r="J90" s="211">
        <v>49</v>
      </c>
      <c r="K90" s="171">
        <f t="shared" si="7"/>
        <v>6.0528437338183814</v>
      </c>
      <c r="L90" s="66">
        <f t="shared" si="12"/>
        <v>0</v>
      </c>
      <c r="M90" s="171">
        <f t="shared" si="8"/>
        <v>6.0528437338183814</v>
      </c>
    </row>
    <row r="91" spans="1:13" x14ac:dyDescent="0.2">
      <c r="A91" s="60"/>
      <c r="B91" s="12"/>
      <c r="C91" s="237"/>
      <c r="D91" s="120" t="s">
        <v>116</v>
      </c>
      <c r="E91" s="65">
        <v>19</v>
      </c>
      <c r="F91" s="158">
        <v>2</v>
      </c>
      <c r="G91" s="159">
        <f>($C$87+E91+E91+4)*PI()+($C$87+E91+E91+8)*PI()</f>
        <v>655.33622753883083</v>
      </c>
      <c r="H91" s="161">
        <f t="shared" si="9"/>
        <v>1310.6724550776617</v>
      </c>
      <c r="I91" s="122">
        <f t="shared" si="10"/>
        <v>7.6296712891608509</v>
      </c>
      <c r="J91" s="211">
        <v>49</v>
      </c>
      <c r="K91" s="171">
        <f t="shared" si="7"/>
        <v>6.4222950298805417</v>
      </c>
      <c r="L91" s="66">
        <f t="shared" si="12"/>
        <v>0</v>
      </c>
      <c r="M91" s="171">
        <f t="shared" si="8"/>
        <v>6.4222950298805417</v>
      </c>
    </row>
    <row r="92" spans="1:13" x14ac:dyDescent="0.2">
      <c r="A92" s="60"/>
      <c r="B92" s="12"/>
      <c r="C92" s="237"/>
      <c r="D92" s="120" t="s">
        <v>116</v>
      </c>
      <c r="E92" s="65">
        <v>25</v>
      </c>
      <c r="F92" s="158">
        <v>3</v>
      </c>
      <c r="G92" s="159">
        <f>($C$87+E92+E92+4)*PI()+($C$87+E92+E92+8)*PI()+($C$87+E92+E92+12)*PI()</f>
        <v>1114.9512327590176</v>
      </c>
      <c r="H92" s="161">
        <f t="shared" si="9"/>
        <v>2229.9024655180351</v>
      </c>
      <c r="I92" s="122">
        <f t="shared" si="10"/>
        <v>4.4845010733134787</v>
      </c>
      <c r="J92" s="211">
        <v>49</v>
      </c>
      <c r="K92" s="171">
        <f t="shared" si="7"/>
        <v>10.926522081038371</v>
      </c>
      <c r="L92" s="66">
        <f t="shared" si="12"/>
        <v>0</v>
      </c>
      <c r="M92" s="171">
        <f t="shared" si="8"/>
        <v>10.926522081038371</v>
      </c>
    </row>
    <row r="93" spans="1:13" x14ac:dyDescent="0.2">
      <c r="A93" s="60"/>
      <c r="B93" s="12"/>
      <c r="C93" s="237"/>
      <c r="D93" s="120" t="s">
        <v>116</v>
      </c>
      <c r="E93" s="65">
        <v>32</v>
      </c>
      <c r="F93" s="158">
        <v>3</v>
      </c>
      <c r="G93" s="159">
        <f>($C$87+E93+E93+4)*PI()+($C$87+E93+E93+8)*PI()+($C$87+E93+E93+12)*PI()</f>
        <v>1246.8981242097891</v>
      </c>
      <c r="H93" s="161">
        <f t="shared" si="9"/>
        <v>2493.7962484195782</v>
      </c>
      <c r="I93" s="122">
        <f t="shared" si="10"/>
        <v>4.0099506951850667</v>
      </c>
      <c r="J93" s="211">
        <v>49</v>
      </c>
      <c r="K93" s="171">
        <f t="shared" si="7"/>
        <v>12.219601617255934</v>
      </c>
      <c r="L93" s="66">
        <f t="shared" si="12"/>
        <v>0</v>
      </c>
      <c r="M93" s="171">
        <f t="shared" si="8"/>
        <v>12.219601617255934</v>
      </c>
    </row>
    <row r="94" spans="1:13" x14ac:dyDescent="0.2">
      <c r="A94" s="60"/>
      <c r="B94" s="12"/>
      <c r="C94" s="237"/>
      <c r="D94" s="120" t="s">
        <v>116</v>
      </c>
      <c r="E94" s="65">
        <v>40</v>
      </c>
      <c r="F94" s="158">
        <v>4</v>
      </c>
      <c r="G94" s="159">
        <f>($C$87+E94+E94+4)*PI()+($C$87+E94+E94+8)*PI()+($C$87+E94+E94+12)*PI()+($C$87+E94+E94+16)*PI()</f>
        <v>1888.7255033381837</v>
      </c>
      <c r="H94" s="161">
        <f t="shared" si="9"/>
        <v>3777.4510066763673</v>
      </c>
      <c r="I94" s="122">
        <f t="shared" si="10"/>
        <v>2.6472878092464294</v>
      </c>
      <c r="J94" s="211">
        <v>49</v>
      </c>
      <c r="K94" s="171">
        <f t="shared" si="7"/>
        <v>18.509509932714199</v>
      </c>
      <c r="L94" s="66">
        <f t="shared" si="12"/>
        <v>0</v>
      </c>
      <c r="M94" s="171">
        <f t="shared" si="8"/>
        <v>18.509509932714199</v>
      </c>
    </row>
    <row r="95" spans="1:13" x14ac:dyDescent="0.2">
      <c r="A95" s="60"/>
      <c r="B95" s="12"/>
      <c r="C95" s="237"/>
      <c r="D95" s="120" t="s">
        <v>116</v>
      </c>
      <c r="E95" s="65">
        <v>50</v>
      </c>
      <c r="F95" s="158">
        <v>4</v>
      </c>
      <c r="G95" s="159">
        <f>($C$87+E95+E95+4)*PI()+($C$87+E95+E95+8)*PI()+($C$87+E95+E95+12)*PI()+($C$87+E95+E95+16)*PI()</f>
        <v>2140.0529156253674</v>
      </c>
      <c r="H95" s="161">
        <f t="shared" si="9"/>
        <v>4280.1058312507348</v>
      </c>
      <c r="I95" s="122">
        <f t="shared" si="10"/>
        <v>2.3363908263637012</v>
      </c>
      <c r="J95" s="211">
        <v>49</v>
      </c>
      <c r="K95" s="171">
        <f t="shared" si="7"/>
        <v>20.9725185731286</v>
      </c>
      <c r="L95" s="66">
        <f t="shared" si="12"/>
        <v>0</v>
      </c>
      <c r="M95" s="171">
        <f t="shared" si="8"/>
        <v>20.9725185731286</v>
      </c>
    </row>
    <row r="96" spans="1:13" x14ac:dyDescent="0.2">
      <c r="A96" s="60"/>
      <c r="B96" s="12"/>
      <c r="C96" s="237">
        <v>76.099999999999994</v>
      </c>
      <c r="D96" s="120" t="s">
        <v>116</v>
      </c>
      <c r="E96" s="65">
        <v>9</v>
      </c>
      <c r="F96" s="158">
        <v>1</v>
      </c>
      <c r="G96" s="159">
        <f>($C$96+E96+E96+4)*PI()</f>
        <v>308.19023931715867</v>
      </c>
      <c r="H96" s="161">
        <f t="shared" si="9"/>
        <v>616.38047863431734</v>
      </c>
      <c r="I96" s="122">
        <f t="shared" si="10"/>
        <v>16.223745473179957</v>
      </c>
      <c r="J96" s="211">
        <v>49</v>
      </c>
      <c r="K96" s="171">
        <f t="shared" si="7"/>
        <v>3.0202643453081546</v>
      </c>
      <c r="L96" s="66">
        <f t="shared" si="12"/>
        <v>0</v>
      </c>
      <c r="M96" s="171">
        <f t="shared" si="8"/>
        <v>3.0202643453081546</v>
      </c>
    </row>
    <row r="97" spans="1:13" x14ac:dyDescent="0.2">
      <c r="A97" s="60"/>
      <c r="B97" s="12"/>
      <c r="C97" s="237"/>
      <c r="D97" s="120" t="s">
        <v>116</v>
      </c>
      <c r="E97" s="65">
        <v>10</v>
      </c>
      <c r="F97" s="158">
        <v>2</v>
      </c>
      <c r="G97" s="159">
        <f>($C$96+E97+E97+4)*PI()+($C$96+E97+E97+8)*PI()</f>
        <v>641.51321986303572</v>
      </c>
      <c r="H97" s="161">
        <f t="shared" si="9"/>
        <v>1283.0264397260714</v>
      </c>
      <c r="I97" s="122">
        <f t="shared" si="10"/>
        <v>7.794071649945904</v>
      </c>
      <c r="J97" s="211">
        <v>49</v>
      </c>
      <c r="K97" s="171">
        <f t="shared" si="7"/>
        <v>6.28682955465775</v>
      </c>
      <c r="L97" s="66">
        <f t="shared" si="12"/>
        <v>0</v>
      </c>
      <c r="M97" s="171">
        <f t="shared" si="8"/>
        <v>6.28682955465775</v>
      </c>
    </row>
    <row r="98" spans="1:13" x14ac:dyDescent="0.2">
      <c r="A98" s="60"/>
      <c r="B98" s="12"/>
      <c r="C98" s="237"/>
      <c r="D98" s="120" t="s">
        <v>116</v>
      </c>
      <c r="E98" s="65">
        <v>13</v>
      </c>
      <c r="F98" s="158">
        <v>2</v>
      </c>
      <c r="G98" s="159">
        <f>($C$96+E98+E98+4)*PI()+($C$96+E98+E98+8)*PI()</f>
        <v>679.21233170611322</v>
      </c>
      <c r="H98" s="161">
        <f t="shared" si="9"/>
        <v>1358.4246634122264</v>
      </c>
      <c r="I98" s="122">
        <f t="shared" si="10"/>
        <v>7.3614682281172685</v>
      </c>
      <c r="J98" s="211">
        <v>49</v>
      </c>
      <c r="K98" s="171">
        <f t="shared" si="7"/>
        <v>6.6562808507199103</v>
      </c>
      <c r="L98" s="66">
        <f t="shared" si="12"/>
        <v>0</v>
      </c>
      <c r="M98" s="171">
        <f t="shared" si="8"/>
        <v>6.6562808507199103</v>
      </c>
    </row>
    <row r="99" spans="1:13" x14ac:dyDescent="0.2">
      <c r="A99" s="60"/>
      <c r="B99" s="12"/>
      <c r="C99" s="237"/>
      <c r="D99" s="120" t="s">
        <v>116</v>
      </c>
      <c r="E99" s="65">
        <v>16</v>
      </c>
      <c r="F99" s="158">
        <v>2</v>
      </c>
      <c r="G99" s="159">
        <f>($C$96+E99+E99+4)*PI()+($C$96+E99+E99+8)*PI()</f>
        <v>716.91144354919084</v>
      </c>
      <c r="H99" s="161">
        <f t="shared" si="9"/>
        <v>1433.8228870983817</v>
      </c>
      <c r="I99" s="122">
        <f t="shared" si="10"/>
        <v>6.9743620986807766</v>
      </c>
      <c r="J99" s="211">
        <v>49</v>
      </c>
      <c r="K99" s="171">
        <f t="shared" si="7"/>
        <v>7.0257321467820706</v>
      </c>
      <c r="L99" s="66">
        <f t="shared" si="12"/>
        <v>0</v>
      </c>
      <c r="M99" s="171">
        <f t="shared" si="8"/>
        <v>7.0257321467820706</v>
      </c>
    </row>
    <row r="100" spans="1:13" x14ac:dyDescent="0.2">
      <c r="A100" s="60"/>
      <c r="B100" s="12"/>
      <c r="C100" s="237"/>
      <c r="D100" s="120" t="s">
        <v>116</v>
      </c>
      <c r="E100" s="65">
        <v>19</v>
      </c>
      <c r="F100" s="158">
        <v>2</v>
      </c>
      <c r="G100" s="159">
        <f>($C$96+E100+E100+4)*PI()+($C$96+E100+E100+8)*PI()</f>
        <v>754.61055539226822</v>
      </c>
      <c r="H100" s="161">
        <f t="shared" si="9"/>
        <v>1509.2211107845364</v>
      </c>
      <c r="I100" s="122">
        <f t="shared" si="10"/>
        <v>6.6259343502038037</v>
      </c>
      <c r="J100" s="211">
        <v>49</v>
      </c>
      <c r="K100" s="171">
        <f t="shared" si="7"/>
        <v>7.3951834428442282</v>
      </c>
      <c r="L100" s="66">
        <f t="shared" si="12"/>
        <v>0</v>
      </c>
      <c r="M100" s="171">
        <f t="shared" si="8"/>
        <v>7.3951834428442282</v>
      </c>
    </row>
    <row r="101" spans="1:13" x14ac:dyDescent="0.2">
      <c r="A101" s="60"/>
      <c r="B101" s="12"/>
      <c r="C101" s="237"/>
      <c r="D101" s="120" t="s">
        <v>116</v>
      </c>
      <c r="E101" s="65">
        <v>25</v>
      </c>
      <c r="F101" s="158">
        <v>3</v>
      </c>
      <c r="G101" s="159">
        <f>($C$96+E101+E101+4)*PI()+($C$96+E101+E101+8)*PI()+($C$96+E101+E101+12)*PI()</f>
        <v>1263.8627245391735</v>
      </c>
      <c r="H101" s="161">
        <f t="shared" si="9"/>
        <v>2527.7254490783471</v>
      </c>
      <c r="I101" s="122">
        <f t="shared" si="10"/>
        <v>3.9561258536389601</v>
      </c>
      <c r="J101" s="211">
        <v>49</v>
      </c>
      <c r="K101" s="171">
        <f t="shared" si="7"/>
        <v>12.3858547004839</v>
      </c>
      <c r="L101" s="66">
        <f t="shared" si="12"/>
        <v>0</v>
      </c>
      <c r="M101" s="171">
        <f t="shared" si="8"/>
        <v>12.3858547004839</v>
      </c>
    </row>
    <row r="102" spans="1:13" x14ac:dyDescent="0.2">
      <c r="A102" s="60"/>
      <c r="B102" s="12"/>
      <c r="C102" s="237"/>
      <c r="D102" s="120" t="s">
        <v>116</v>
      </c>
      <c r="E102" s="65">
        <v>32</v>
      </c>
      <c r="F102" s="158">
        <v>3</v>
      </c>
      <c r="G102" s="159">
        <f>($C$96+E102+E102+4)*PI()+($C$96+E102+E102+8)*PI()+($C$96+E102+E102+12)*PI()</f>
        <v>1395.8096159899451</v>
      </c>
      <c r="H102" s="161">
        <f t="shared" si="9"/>
        <v>2791.6192319798902</v>
      </c>
      <c r="I102" s="122">
        <f t="shared" si="10"/>
        <v>3.5821504184536428</v>
      </c>
      <c r="J102" s="211">
        <v>49</v>
      </c>
      <c r="K102" s="171">
        <f t="shared" si="7"/>
        <v>13.678934236701462</v>
      </c>
      <c r="L102" s="66">
        <f t="shared" si="12"/>
        <v>0</v>
      </c>
      <c r="M102" s="171">
        <f t="shared" si="8"/>
        <v>13.678934236701462</v>
      </c>
    </row>
    <row r="103" spans="1:13" x14ac:dyDescent="0.2">
      <c r="A103" s="60"/>
      <c r="B103" s="12"/>
      <c r="C103" s="237"/>
      <c r="D103" s="120" t="s">
        <v>116</v>
      </c>
      <c r="E103" s="65">
        <v>40</v>
      </c>
      <c r="F103" s="158">
        <v>4</v>
      </c>
      <c r="G103" s="159">
        <f>($C$96+E103+E103+4)*PI()+($C$96+E103+E103+8)*PI()+($C$96+E103+E103+12)*PI()+($C$96+E103+E103+16)*PI()</f>
        <v>2087.2741590450587</v>
      </c>
      <c r="H103" s="161">
        <f t="shared" si="9"/>
        <v>4174.5483180901174</v>
      </c>
      <c r="I103" s="122">
        <f t="shared" si="10"/>
        <v>2.3954687400947523</v>
      </c>
      <c r="J103" s="211">
        <v>49</v>
      </c>
      <c r="K103" s="171">
        <f t="shared" si="7"/>
        <v>20.455286758641574</v>
      </c>
      <c r="L103" s="66">
        <f t="shared" si="12"/>
        <v>0</v>
      </c>
      <c r="M103" s="171">
        <f t="shared" si="8"/>
        <v>20.455286758641574</v>
      </c>
    </row>
    <row r="104" spans="1:13" x14ac:dyDescent="0.2">
      <c r="A104" s="60"/>
      <c r="B104" s="12"/>
      <c r="C104" s="237"/>
      <c r="D104" s="120" t="s">
        <v>116</v>
      </c>
      <c r="E104" s="65">
        <v>50</v>
      </c>
      <c r="F104" s="158">
        <v>4</v>
      </c>
      <c r="G104" s="159">
        <f>($C$96+E104+E104+4)*PI()+($C$96+E104+E104+8)*PI()+($C$96+E104+E104+12)*PI()+($C$96+E104+E104+16)*PI()</f>
        <v>2338.6015713322422</v>
      </c>
      <c r="H104" s="161">
        <f t="shared" si="9"/>
        <v>4677.2031426644844</v>
      </c>
      <c r="I104" s="122">
        <f t="shared" si="10"/>
        <v>2.1380298642113829</v>
      </c>
      <c r="J104" s="211">
        <v>49</v>
      </c>
      <c r="K104" s="171">
        <f t="shared" si="7"/>
        <v>22.918295399055971</v>
      </c>
      <c r="L104" s="66">
        <f t="shared" si="12"/>
        <v>0</v>
      </c>
      <c r="M104" s="171">
        <f t="shared" si="8"/>
        <v>22.918295399055971</v>
      </c>
    </row>
    <row r="105" spans="1:13" x14ac:dyDescent="0.2">
      <c r="A105" s="60"/>
      <c r="B105" s="12"/>
      <c r="C105" s="237">
        <v>88.9</v>
      </c>
      <c r="D105" s="120" t="s">
        <v>116</v>
      </c>
      <c r="E105" s="65">
        <v>9</v>
      </c>
      <c r="F105" s="158">
        <v>1</v>
      </c>
      <c r="G105" s="159">
        <f>($C$105+E105+E105+4)*PI()</f>
        <v>348.40262528310808</v>
      </c>
      <c r="H105" s="161">
        <f t="shared" si="9"/>
        <v>696.80525056621616</v>
      </c>
      <c r="I105" s="122">
        <f t="shared" si="10"/>
        <v>14.351212181415269</v>
      </c>
      <c r="J105" s="211">
        <v>49</v>
      </c>
      <c r="K105" s="171">
        <f t="shared" si="7"/>
        <v>3.4143457277744593</v>
      </c>
      <c r="L105" s="66">
        <f t="shared" si="12"/>
        <v>0</v>
      </c>
      <c r="M105" s="171">
        <f t="shared" si="8"/>
        <v>3.4143457277744593</v>
      </c>
    </row>
    <row r="106" spans="1:13" x14ac:dyDescent="0.2">
      <c r="A106" s="60"/>
      <c r="B106" s="12"/>
      <c r="C106" s="237"/>
      <c r="D106" s="120" t="s">
        <v>116</v>
      </c>
      <c r="E106" s="65">
        <v>10</v>
      </c>
      <c r="F106" s="158">
        <v>2</v>
      </c>
      <c r="G106" s="159">
        <f>($C$105+E106+E106+4)*PI()+($C$105+E106+E106+8)*PI()</f>
        <v>721.93799179493453</v>
      </c>
      <c r="H106" s="161">
        <f t="shared" si="9"/>
        <v>1443.8759835898691</v>
      </c>
      <c r="I106" s="122">
        <f t="shared" si="10"/>
        <v>6.9258025714488829</v>
      </c>
      <c r="J106" s="211">
        <v>49</v>
      </c>
      <c r="K106" s="171">
        <f t="shared" ref="K106:K113" si="13">J106/I106</f>
        <v>7.0749923195903586</v>
      </c>
      <c r="L106" s="66">
        <f t="shared" si="12"/>
        <v>0</v>
      </c>
      <c r="M106" s="171">
        <f t="shared" ref="M106:M113" si="14">K106*(1-L106)</f>
        <v>7.0749923195903586</v>
      </c>
    </row>
    <row r="107" spans="1:13" x14ac:dyDescent="0.2">
      <c r="A107" s="60"/>
      <c r="B107" s="12"/>
      <c r="C107" s="237"/>
      <c r="D107" s="120" t="s">
        <v>116</v>
      </c>
      <c r="E107" s="65">
        <v>13</v>
      </c>
      <c r="F107" s="158">
        <v>2</v>
      </c>
      <c r="G107" s="159">
        <f>($C$105+E107+E107+4)*PI()+($C$105+E107+E107+8)*PI()</f>
        <v>759.63710363801192</v>
      </c>
      <c r="H107" s="161">
        <f t="shared" ref="H107:H113" si="15">G107*2</f>
        <v>1519.2742072760238</v>
      </c>
      <c r="I107" s="122">
        <f t="shared" ref="I107:I113" si="16">10000/H107</f>
        <v>6.5820902850246217</v>
      </c>
      <c r="J107" s="211">
        <v>49</v>
      </c>
      <c r="K107" s="171">
        <f t="shared" si="13"/>
        <v>7.4444436156525171</v>
      </c>
      <c r="L107" s="66">
        <f t="shared" ref="L107:L113" si="17">$L$42</f>
        <v>0</v>
      </c>
      <c r="M107" s="171">
        <f t="shared" si="14"/>
        <v>7.4444436156525171</v>
      </c>
    </row>
    <row r="108" spans="1:13" x14ac:dyDescent="0.2">
      <c r="A108" s="60"/>
      <c r="B108" s="12"/>
      <c r="C108" s="237"/>
      <c r="D108" s="120" t="s">
        <v>116</v>
      </c>
      <c r="E108" s="65">
        <v>16</v>
      </c>
      <c r="F108" s="158">
        <v>2</v>
      </c>
      <c r="G108" s="159">
        <f>($C$105+E108+E108+4)*PI()+($C$105+E108+E108+8)*PI()</f>
        <v>797.33621548108954</v>
      </c>
      <c r="H108" s="161">
        <f t="shared" si="15"/>
        <v>1594.6724309621791</v>
      </c>
      <c r="I108" s="122">
        <f t="shared" si="16"/>
        <v>6.2708803424702655</v>
      </c>
      <c r="J108" s="211">
        <v>49</v>
      </c>
      <c r="K108" s="171">
        <f t="shared" si="13"/>
        <v>7.8138949117146774</v>
      </c>
      <c r="L108" s="66">
        <f t="shared" si="17"/>
        <v>0</v>
      </c>
      <c r="M108" s="171">
        <f t="shared" si="14"/>
        <v>7.8138949117146774</v>
      </c>
    </row>
    <row r="109" spans="1:13" x14ac:dyDescent="0.2">
      <c r="A109" s="60"/>
      <c r="B109" s="12"/>
      <c r="C109" s="237"/>
      <c r="D109" s="120" t="s">
        <v>116</v>
      </c>
      <c r="E109" s="65">
        <v>19</v>
      </c>
      <c r="F109" s="158">
        <v>2</v>
      </c>
      <c r="G109" s="159">
        <f>($C$105+E109+E109+4)*PI()+($C$105+E109+E109+8)*PI()</f>
        <v>835.03532732416704</v>
      </c>
      <c r="H109" s="161">
        <f t="shared" si="15"/>
        <v>1670.0706546483341</v>
      </c>
      <c r="I109" s="122">
        <f t="shared" si="16"/>
        <v>5.9877706204625785</v>
      </c>
      <c r="J109" s="211">
        <v>49</v>
      </c>
      <c r="K109" s="171">
        <f t="shared" si="13"/>
        <v>8.1833462077768377</v>
      </c>
      <c r="L109" s="66">
        <f t="shared" si="17"/>
        <v>0</v>
      </c>
      <c r="M109" s="171">
        <f t="shared" si="14"/>
        <v>8.1833462077768377</v>
      </c>
    </row>
    <row r="110" spans="1:13" x14ac:dyDescent="0.2">
      <c r="A110" s="60"/>
      <c r="B110" s="12"/>
      <c r="C110" s="237"/>
      <c r="D110" s="120" t="s">
        <v>116</v>
      </c>
      <c r="E110" s="65">
        <v>25</v>
      </c>
      <c r="F110" s="158">
        <v>3</v>
      </c>
      <c r="G110" s="159">
        <f>($C$105+E110+E110+4)*PI()+($C$105+E110+E110+8)*PI()+($C$105+E110+E110+12)*PI()</f>
        <v>1384.4998824370218</v>
      </c>
      <c r="H110" s="161">
        <f t="shared" si="15"/>
        <v>2768.9997648740436</v>
      </c>
      <c r="I110" s="122">
        <f t="shared" si="16"/>
        <v>3.6114123687745709</v>
      </c>
      <c r="J110" s="211">
        <v>49</v>
      </c>
      <c r="K110" s="171">
        <f t="shared" si="13"/>
        <v>13.568098847882814</v>
      </c>
      <c r="L110" s="66">
        <f t="shared" si="17"/>
        <v>0</v>
      </c>
      <c r="M110" s="171">
        <f t="shared" si="14"/>
        <v>13.568098847882814</v>
      </c>
    </row>
    <row r="111" spans="1:13" x14ac:dyDescent="0.2">
      <c r="A111" s="60"/>
      <c r="B111" s="12"/>
      <c r="C111" s="237"/>
      <c r="D111" s="120" t="s">
        <v>116</v>
      </c>
      <c r="E111" s="65">
        <v>32</v>
      </c>
      <c r="F111" s="158">
        <v>3</v>
      </c>
      <c r="G111" s="159">
        <f>($C$105+E111+E111+4)*PI()+($C$105+E111+E111+8)*PI()+($C$105+E111+E111+12)*PI()</f>
        <v>1516.4467738877934</v>
      </c>
      <c r="H111" s="161">
        <f t="shared" si="15"/>
        <v>3032.8935477755867</v>
      </c>
      <c r="I111" s="122">
        <f t="shared" si="16"/>
        <v>3.2971813360657825</v>
      </c>
      <c r="J111" s="211">
        <v>49</v>
      </c>
      <c r="K111" s="171">
        <f t="shared" si="13"/>
        <v>14.861178384100375</v>
      </c>
      <c r="L111" s="66">
        <f t="shared" si="17"/>
        <v>0</v>
      </c>
      <c r="M111" s="171">
        <f t="shared" si="14"/>
        <v>14.861178384100375</v>
      </c>
    </row>
    <row r="112" spans="1:13" x14ac:dyDescent="0.2">
      <c r="A112" s="60"/>
      <c r="B112" s="12"/>
      <c r="C112" s="237"/>
      <c r="D112" s="120" t="s">
        <v>116</v>
      </c>
      <c r="E112" s="65">
        <v>40</v>
      </c>
      <c r="F112" s="158">
        <v>4</v>
      </c>
      <c r="G112" s="159">
        <f>($C$105+E112+E112+4)*PI()+($C$105+E112+E112+8)*PI()+($C$105+E112+E112+12)*PI()+($C$105+E112+E112+16)*PI()</f>
        <v>2248.1237029088561</v>
      </c>
      <c r="H112" s="161">
        <f t="shared" si="15"/>
        <v>4496.2474058177122</v>
      </c>
      <c r="I112" s="122">
        <f t="shared" si="16"/>
        <v>2.2240769017872459</v>
      </c>
      <c r="J112" s="211">
        <v>49</v>
      </c>
      <c r="K112" s="171">
        <f t="shared" si="13"/>
        <v>22.031612288506793</v>
      </c>
      <c r="L112" s="66">
        <f t="shared" si="17"/>
        <v>0</v>
      </c>
      <c r="M112" s="171">
        <f t="shared" si="14"/>
        <v>22.031612288506793</v>
      </c>
    </row>
    <row r="113" spans="1:13" x14ac:dyDescent="0.2">
      <c r="A113" s="60"/>
      <c r="B113" s="12"/>
      <c r="C113" s="237"/>
      <c r="D113" s="120" t="s">
        <v>116</v>
      </c>
      <c r="E113" s="65">
        <v>50</v>
      </c>
      <c r="F113" s="158">
        <v>4</v>
      </c>
      <c r="G113" s="159">
        <f>($C$105+E113+E113+4)*PI()+($C$105+E113+E113+8)*PI()+($C$105+E113+E113+12)*PI()+($C$105+E113+E113+16)*PI()</f>
        <v>2499.4511151960396</v>
      </c>
      <c r="H113" s="161">
        <f t="shared" si="15"/>
        <v>4998.9022303920792</v>
      </c>
      <c r="I113" s="122">
        <f t="shared" si="16"/>
        <v>2.0004392042721886</v>
      </c>
      <c r="J113" s="211">
        <v>49</v>
      </c>
      <c r="K113" s="171">
        <f t="shared" si="13"/>
        <v>24.49462092892119</v>
      </c>
      <c r="L113" s="66">
        <f t="shared" si="17"/>
        <v>0</v>
      </c>
      <c r="M113" s="171">
        <f t="shared" si="14"/>
        <v>24.49462092892119</v>
      </c>
    </row>
  </sheetData>
  <sheetProtection algorithmName="SHA-512" hashValue="Gy1sZyk+eNiV5zuVfX2k1e+0y9v0RAwHELUCXpLV6S0Wdxi/qRGNZkuGLVVA8fe2oqURu6M6n0+JRp7IU/62gA==" saltValue="X6jaiairA8ebBoGrbLStOA==" spinCount="100000" sheet="1" objects="1" scenarios="1"/>
  <mergeCells count="31">
    <mergeCell ref="H10:I10"/>
    <mergeCell ref="D13:D15"/>
    <mergeCell ref="E13:E14"/>
    <mergeCell ref="F13:G13"/>
    <mergeCell ref="H13:H14"/>
    <mergeCell ref="I13:J13"/>
    <mergeCell ref="I14:J14"/>
    <mergeCell ref="I15:J15"/>
    <mergeCell ref="F14:G14"/>
    <mergeCell ref="C105:C113"/>
    <mergeCell ref="C42:C50"/>
    <mergeCell ref="C51:C59"/>
    <mergeCell ref="B38:M38"/>
    <mergeCell ref="B40:M40"/>
    <mergeCell ref="C60:C68"/>
    <mergeCell ref="C69:C77"/>
    <mergeCell ref="C78:C86"/>
    <mergeCell ref="C87:C95"/>
    <mergeCell ref="C96:C104"/>
    <mergeCell ref="F18:G18"/>
    <mergeCell ref="F19:G19"/>
    <mergeCell ref="F15:G15"/>
    <mergeCell ref="B23:M23"/>
    <mergeCell ref="B21:M21"/>
    <mergeCell ref="D17:D19"/>
    <mergeCell ref="E17:E18"/>
    <mergeCell ref="F17:G17"/>
    <mergeCell ref="H17:H18"/>
    <mergeCell ref="I17:J17"/>
    <mergeCell ref="I19:J19"/>
    <mergeCell ref="I18:J18"/>
  </mergeCells>
  <hyperlinks>
    <hyperlink ref="H10:I10" location="SYSTEMY!A1" display="MENU GŁÓWNE" xr:uid="{4149C5E3-EE8D-4533-86A8-20E5B589DD74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0" orientation="landscape" r:id="rId1"/>
  <rowBreaks count="1" manualBreakCount="1">
    <brk id="39" min="1" max="14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 tint="0.34998626667073579"/>
  </sheetPr>
  <dimension ref="A10:P233"/>
  <sheetViews>
    <sheetView showGridLines="0" zoomScale="85" zoomScaleNormal="85" workbookViewId="0">
      <selection activeCell="A2" sqref="A2"/>
    </sheetView>
  </sheetViews>
  <sheetFormatPr defaultColWidth="0" defaultRowHeight="12.75" x14ac:dyDescent="0.2"/>
  <cols>
    <col min="1" max="1" width="9.140625" style="53" customWidth="1"/>
    <col min="2" max="2" width="12.7109375" style="53" customWidth="1"/>
    <col min="3" max="3" width="14.140625" style="53" customWidth="1"/>
    <col min="4" max="4" width="21.7109375" style="53" bestFit="1" customWidth="1"/>
    <col min="5" max="5" width="13.28515625" style="53" customWidth="1"/>
    <col min="6" max="6" width="15.28515625" style="53" customWidth="1"/>
    <col min="7" max="7" width="17.85546875" style="53" customWidth="1"/>
    <col min="8" max="8" width="13.140625" style="53" customWidth="1"/>
    <col min="9" max="10" width="13.28515625" style="53" customWidth="1"/>
    <col min="11" max="12" width="15" style="53" customWidth="1"/>
    <col min="13" max="13" width="9.140625" style="53" customWidth="1"/>
    <col min="14" max="14" width="13.5703125" style="53" customWidth="1"/>
    <col min="15" max="15" width="20.5703125" style="53" customWidth="1"/>
    <col min="16" max="16" width="0" style="53" hidden="1" customWidth="1"/>
    <col min="17" max="16384" width="9.140625" style="53" hidden="1"/>
  </cols>
  <sheetData>
    <row r="10" spans="1:15" ht="15.75" x14ac:dyDescent="0.25">
      <c r="H10" s="222" t="s">
        <v>73</v>
      </c>
      <c r="I10" s="222"/>
    </row>
    <row r="12" spans="1:15" x14ac:dyDescent="0.2">
      <c r="A12" s="54"/>
      <c r="M12" s="55"/>
      <c r="N12" s="56"/>
      <c r="O12" s="54"/>
    </row>
    <row r="13" spans="1:15" ht="18" customHeight="1" x14ac:dyDescent="0.2">
      <c r="A13" s="57"/>
      <c r="B13" s="57"/>
      <c r="C13" s="57"/>
      <c r="D13" s="254"/>
      <c r="E13" s="242" t="s">
        <v>93</v>
      </c>
      <c r="F13" s="242" t="s">
        <v>126</v>
      </c>
      <c r="G13" s="242" t="s">
        <v>125</v>
      </c>
      <c r="H13" s="242" t="s">
        <v>127</v>
      </c>
      <c r="I13" s="242"/>
      <c r="J13" s="242" t="s">
        <v>95</v>
      </c>
      <c r="K13" s="242" t="s">
        <v>96</v>
      </c>
      <c r="L13" s="55"/>
      <c r="M13" s="56"/>
      <c r="N13" s="57"/>
      <c r="O13" s="57"/>
    </row>
    <row r="14" spans="1:15" ht="18" customHeight="1" x14ac:dyDescent="0.2">
      <c r="A14" s="54"/>
      <c r="B14" s="54"/>
      <c r="C14" s="54"/>
      <c r="D14" s="254"/>
      <c r="E14" s="242"/>
      <c r="F14" s="242"/>
      <c r="G14" s="242"/>
      <c r="H14" s="242"/>
      <c r="I14" s="242"/>
      <c r="J14" s="242"/>
      <c r="K14" s="242"/>
      <c r="L14" s="55"/>
      <c r="M14" s="56"/>
      <c r="N14" s="54"/>
      <c r="O14" s="54"/>
    </row>
    <row r="15" spans="1:15" s="59" customFormat="1" ht="17.25" customHeight="1" x14ac:dyDescent="0.25">
      <c r="A15" s="57"/>
      <c r="B15" s="57"/>
      <c r="C15" s="57"/>
      <c r="D15" s="254"/>
      <c r="E15" s="58">
        <f>SUM($B$23:$B$140,$B$144:$B$233)</f>
        <v>0</v>
      </c>
      <c r="F15" s="128">
        <f>_xlfn.CEILING.PRECISE((SUMPRODUCT($B$23:$B$140,$G$23:$G$140)+SUMPRODUCT($B$144:$B$233,$G$144:$G$233))/1000,0.01)</f>
        <v>0</v>
      </c>
      <c r="G15" s="128">
        <f>_xlfn.CEILING.PRECISE((SUMPRODUCT($B$23:$B$140,$I$23:$I$140)+SUMPRODUCT($B$144:$B$233,$I$144:$I$233))/1000,0.01)</f>
        <v>0</v>
      </c>
      <c r="H15" s="256">
        <f>ROUNDUP(G15/2.5,0)</f>
        <v>0</v>
      </c>
      <c r="I15" s="256"/>
      <c r="J15" s="131">
        <v>0</v>
      </c>
      <c r="K15" s="172">
        <f>ROUNDUP($H$15,0)*(73*(1-$J$15))</f>
        <v>0</v>
      </c>
      <c r="L15" s="55"/>
      <c r="M15" s="56" t="s">
        <v>19</v>
      </c>
      <c r="N15" s="57"/>
      <c r="O15" s="57"/>
    </row>
    <row r="16" spans="1:15" x14ac:dyDescent="0.2">
      <c r="A16" s="60"/>
      <c r="B16" s="60"/>
      <c r="C16" s="60"/>
      <c r="D16" s="61"/>
      <c r="E16" s="60"/>
      <c r="F16" s="60"/>
      <c r="G16" s="60"/>
      <c r="H16" s="61"/>
      <c r="I16" s="61"/>
      <c r="J16" s="62"/>
      <c r="K16" s="63"/>
      <c r="L16" s="60"/>
      <c r="M16" s="64"/>
      <c r="N16" s="63"/>
      <c r="O16" s="60"/>
    </row>
    <row r="17" spans="1:15" x14ac:dyDescent="0.2">
      <c r="A17" s="60"/>
      <c r="B17" s="60"/>
      <c r="C17" s="60"/>
      <c r="D17" s="61"/>
      <c r="E17" s="60"/>
      <c r="F17" s="60"/>
      <c r="G17" s="60"/>
      <c r="H17" s="61"/>
      <c r="I17" s="61"/>
      <c r="J17" s="62"/>
      <c r="K17" s="63"/>
      <c r="L17" s="60"/>
      <c r="M17" s="64"/>
      <c r="N17" s="63"/>
      <c r="O17" s="60"/>
    </row>
    <row r="18" spans="1:15" x14ac:dyDescent="0.2">
      <c r="A18" s="60"/>
      <c r="B18" s="60"/>
      <c r="C18" s="60"/>
      <c r="D18" s="61"/>
      <c r="E18" s="60"/>
      <c r="F18" s="60"/>
      <c r="G18" s="60"/>
      <c r="H18" s="61"/>
      <c r="I18" s="61"/>
      <c r="J18" s="62"/>
      <c r="K18" s="63"/>
      <c r="L18" s="63"/>
      <c r="M18" s="64"/>
      <c r="N18" s="63"/>
      <c r="O18" s="60"/>
    </row>
    <row r="19" spans="1:15" ht="23.25" customHeight="1" x14ac:dyDescent="0.2">
      <c r="A19" s="60"/>
      <c r="B19" s="257" t="s">
        <v>128</v>
      </c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  <c r="N19" s="258"/>
      <c r="O19" s="60"/>
    </row>
    <row r="20" spans="1:15" x14ac:dyDescent="0.2">
      <c r="A20" s="60"/>
      <c r="B20" s="60"/>
      <c r="C20" s="60"/>
      <c r="D20" s="61"/>
      <c r="E20" s="60"/>
      <c r="F20" s="60"/>
      <c r="G20" s="60"/>
      <c r="H20" s="61"/>
      <c r="I20" s="61"/>
      <c r="J20" s="62"/>
      <c r="K20" s="63"/>
      <c r="L20" s="63"/>
      <c r="M20" s="64"/>
      <c r="N20" s="63"/>
      <c r="O20" s="60"/>
    </row>
    <row r="21" spans="1:15" ht="26.25" customHeight="1" x14ac:dyDescent="0.2">
      <c r="A21" s="60"/>
      <c r="B21" s="227" t="s">
        <v>129</v>
      </c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227"/>
      <c r="O21" s="60"/>
    </row>
    <row r="22" spans="1:15" ht="45.75" customHeight="1" x14ac:dyDescent="0.2">
      <c r="A22" s="60"/>
      <c r="B22" s="155" t="s">
        <v>99</v>
      </c>
      <c r="C22" s="155" t="s">
        <v>100</v>
      </c>
      <c r="D22" s="155" t="s">
        <v>115</v>
      </c>
      <c r="E22" s="155" t="s">
        <v>101</v>
      </c>
      <c r="F22" s="155" t="s">
        <v>102</v>
      </c>
      <c r="G22" s="155" t="s">
        <v>103</v>
      </c>
      <c r="H22" s="155" t="s">
        <v>130</v>
      </c>
      <c r="I22" s="155" t="s">
        <v>131</v>
      </c>
      <c r="J22" s="155" t="s">
        <v>130</v>
      </c>
      <c r="K22" s="155" t="s">
        <v>105</v>
      </c>
      <c r="L22" s="155" t="s">
        <v>106</v>
      </c>
      <c r="M22" s="155" t="s">
        <v>95</v>
      </c>
      <c r="N22" s="155" t="s">
        <v>107</v>
      </c>
    </row>
    <row r="23" spans="1:15" x14ac:dyDescent="0.2">
      <c r="A23" s="60"/>
      <c r="B23" s="119"/>
      <c r="C23" s="252">
        <v>21.3</v>
      </c>
      <c r="D23" s="120" t="s">
        <v>116</v>
      </c>
      <c r="E23" s="121">
        <v>9</v>
      </c>
      <c r="F23" s="124">
        <v>1</v>
      </c>
      <c r="G23" s="125">
        <f>($C$23+E23+E23+4)*PI()</f>
        <v>136.03096190043803</v>
      </c>
      <c r="H23" s="122">
        <f t="shared" ref="H23:H54" si="0">10000/G23</f>
        <v>73.512675793023263</v>
      </c>
      <c r="I23" s="208">
        <f>($C$23+(E23*2)+(F23*2*2))*PI()</f>
        <v>136.03096190043803</v>
      </c>
      <c r="J23" s="209">
        <f>2500/I23</f>
        <v>18.378168948255816</v>
      </c>
      <c r="K23" s="173">
        <v>73</v>
      </c>
      <c r="L23" s="173">
        <f>K23/J23</f>
        <v>3.9721040874927902</v>
      </c>
      <c r="M23" s="123">
        <v>0</v>
      </c>
      <c r="N23" s="173">
        <f t="shared" ref="N23:N86" si="1">L23*(1-M23)</f>
        <v>3.9721040874927902</v>
      </c>
    </row>
    <row r="24" spans="1:15" x14ac:dyDescent="0.2">
      <c r="A24" s="60"/>
      <c r="B24" s="12"/>
      <c r="C24" s="237"/>
      <c r="D24" s="120" t="s">
        <v>116</v>
      </c>
      <c r="E24" s="65">
        <v>10</v>
      </c>
      <c r="F24" s="126">
        <v>2</v>
      </c>
      <c r="G24" s="127">
        <f>($C$23+E24+E24+4)*PI()+($C$23+E24+E24+8)*PI()</f>
        <v>297.19466502959438</v>
      </c>
      <c r="H24" s="72">
        <f t="shared" si="0"/>
        <v>33.64797951202862</v>
      </c>
      <c r="I24" s="156">
        <f t="shared" ref="I24:I31" si="2">($C$23+(E24*2)+(F24*2*2))*PI()</f>
        <v>154.88051782197678</v>
      </c>
      <c r="J24" s="157">
        <f t="shared" ref="J24:J87" si="3">2500/I24</f>
        <v>16.141474958610079</v>
      </c>
      <c r="K24" s="173">
        <v>73</v>
      </c>
      <c r="L24" s="173">
        <f t="shared" ref="L24:L87" si="4">K24/J24</f>
        <v>4.5225111204017212</v>
      </c>
      <c r="M24" s="66">
        <f t="shared" ref="M24:M55" si="5">$M$23</f>
        <v>0</v>
      </c>
      <c r="N24" s="171">
        <f t="shared" si="1"/>
        <v>4.5225111204017212</v>
      </c>
    </row>
    <row r="25" spans="1:15" x14ac:dyDescent="0.2">
      <c r="A25" s="60"/>
      <c r="B25" s="12"/>
      <c r="C25" s="237"/>
      <c r="D25" s="120" t="s">
        <v>116</v>
      </c>
      <c r="E25" s="65">
        <v>13</v>
      </c>
      <c r="F25" s="126">
        <v>2</v>
      </c>
      <c r="G25" s="127">
        <f>($C$23+E25+E25+4)*PI()+($C$23+E25+E25+8)*PI()</f>
        <v>334.89377687267194</v>
      </c>
      <c r="H25" s="72">
        <f t="shared" si="0"/>
        <v>29.860214463770234</v>
      </c>
      <c r="I25" s="156">
        <f t="shared" si="2"/>
        <v>173.73007374351556</v>
      </c>
      <c r="J25" s="157">
        <f t="shared" si="3"/>
        <v>14.390139520062871</v>
      </c>
      <c r="K25" s="173">
        <v>73</v>
      </c>
      <c r="L25" s="173">
        <f t="shared" si="4"/>
        <v>5.0729181533106544</v>
      </c>
      <c r="M25" s="66">
        <f t="shared" si="5"/>
        <v>0</v>
      </c>
      <c r="N25" s="171">
        <f t="shared" si="1"/>
        <v>5.0729181533106544</v>
      </c>
    </row>
    <row r="26" spans="1:15" x14ac:dyDescent="0.2">
      <c r="A26" s="60"/>
      <c r="B26" s="12"/>
      <c r="C26" s="237"/>
      <c r="D26" s="120" t="s">
        <v>116</v>
      </c>
      <c r="E26" s="65">
        <v>16</v>
      </c>
      <c r="F26" s="126">
        <v>2</v>
      </c>
      <c r="G26" s="127">
        <f>($C$23+E26+E26+4)*PI()+($C$23+E26+E26+8)*PI()</f>
        <v>372.59288871574944</v>
      </c>
      <c r="H26" s="72">
        <f t="shared" si="0"/>
        <v>26.838944872157732</v>
      </c>
      <c r="I26" s="156">
        <f t="shared" si="2"/>
        <v>192.57962966505431</v>
      </c>
      <c r="J26" s="157">
        <f t="shared" si="3"/>
        <v>12.981642992813649</v>
      </c>
      <c r="K26" s="173">
        <v>73</v>
      </c>
      <c r="L26" s="173">
        <f t="shared" si="4"/>
        <v>5.6233251862195859</v>
      </c>
      <c r="M26" s="66">
        <f t="shared" si="5"/>
        <v>0</v>
      </c>
      <c r="N26" s="171">
        <f t="shared" si="1"/>
        <v>5.6233251862195859</v>
      </c>
    </row>
    <row r="27" spans="1:15" x14ac:dyDescent="0.2">
      <c r="A27" s="60"/>
      <c r="B27" s="12"/>
      <c r="C27" s="237"/>
      <c r="D27" s="120" t="s">
        <v>116</v>
      </c>
      <c r="E27" s="65">
        <v>19</v>
      </c>
      <c r="F27" s="126">
        <v>2</v>
      </c>
      <c r="G27" s="127">
        <f>($C$23+E27+E27+4)*PI()+($C$23+E27+E27+8)*PI()</f>
        <v>410.292000558827</v>
      </c>
      <c r="H27" s="72">
        <f t="shared" si="0"/>
        <v>24.372885618973253</v>
      </c>
      <c r="I27" s="156">
        <f t="shared" si="2"/>
        <v>211.42918558659306</v>
      </c>
      <c r="J27" s="157">
        <f t="shared" si="3"/>
        <v>11.824289977109609</v>
      </c>
      <c r="K27" s="173">
        <v>73</v>
      </c>
      <c r="L27" s="173">
        <f t="shared" si="4"/>
        <v>6.1737322191285173</v>
      </c>
      <c r="M27" s="66">
        <f t="shared" si="5"/>
        <v>0</v>
      </c>
      <c r="N27" s="171">
        <f t="shared" si="1"/>
        <v>6.1737322191285173</v>
      </c>
    </row>
    <row r="28" spans="1:15" x14ac:dyDescent="0.2">
      <c r="A28" s="60"/>
      <c r="B28" s="12"/>
      <c r="C28" s="237"/>
      <c r="D28" s="120" t="s">
        <v>116</v>
      </c>
      <c r="E28" s="65">
        <v>25</v>
      </c>
      <c r="F28" s="126">
        <v>3</v>
      </c>
      <c r="G28" s="127">
        <f>($C$23+E28+E28+4)*PI()+($C$23+E28+E28+8)*PI()+($C$23+E28+E28+12)*PI()</f>
        <v>747.38489228901176</v>
      </c>
      <c r="H28" s="72">
        <f t="shared" si="0"/>
        <v>13.37998680890251</v>
      </c>
      <c r="I28" s="156">
        <f t="shared" si="2"/>
        <v>261.69466804402975</v>
      </c>
      <c r="J28" s="157">
        <f t="shared" si="3"/>
        <v>9.5531178326467803</v>
      </c>
      <c r="K28" s="173">
        <v>73</v>
      </c>
      <c r="L28" s="173">
        <f t="shared" si="4"/>
        <v>7.6414843068856682</v>
      </c>
      <c r="M28" s="66">
        <f t="shared" si="5"/>
        <v>0</v>
      </c>
      <c r="N28" s="171">
        <f t="shared" si="1"/>
        <v>7.6414843068856682</v>
      </c>
    </row>
    <row r="29" spans="1:15" x14ac:dyDescent="0.2">
      <c r="A29" s="60"/>
      <c r="B29" s="12"/>
      <c r="C29" s="237"/>
      <c r="D29" s="120" t="s">
        <v>116</v>
      </c>
      <c r="E29" s="65">
        <v>32</v>
      </c>
      <c r="F29" s="126">
        <v>3</v>
      </c>
      <c r="G29" s="127">
        <f>($C$23+E29+E29+4)*PI()+($C$23+E29+E29+8)*PI()+($C$23+E29+E29+12)*PI()</f>
        <v>879.33178373978308</v>
      </c>
      <c r="H29" s="72">
        <f t="shared" si="0"/>
        <v>11.372271746473407</v>
      </c>
      <c r="I29" s="156">
        <f t="shared" si="2"/>
        <v>305.67696519428688</v>
      </c>
      <c r="J29" s="157">
        <f t="shared" si="3"/>
        <v>8.1785685042083927</v>
      </c>
      <c r="K29" s="173">
        <v>73</v>
      </c>
      <c r="L29" s="173">
        <f t="shared" si="4"/>
        <v>8.9257673836731772</v>
      </c>
      <c r="M29" s="66">
        <f t="shared" si="5"/>
        <v>0</v>
      </c>
      <c r="N29" s="171">
        <f t="shared" si="1"/>
        <v>8.9257673836731772</v>
      </c>
    </row>
    <row r="30" spans="1:15" x14ac:dyDescent="0.2">
      <c r="A30" s="60"/>
      <c r="B30" s="12"/>
      <c r="C30" s="237"/>
      <c r="D30" s="120" t="s">
        <v>116</v>
      </c>
      <c r="E30" s="65">
        <v>40</v>
      </c>
      <c r="F30" s="126">
        <v>4</v>
      </c>
      <c r="G30" s="127">
        <f>($C$23+E30+E30+4)*PI()+($C$23+E30+E30+8)*PI()+($C$23+E30+E30+12)*PI()+($C$23+E30+E30+16)*PI()</f>
        <v>1398.6370493781758</v>
      </c>
      <c r="H30" s="72">
        <f t="shared" si="0"/>
        <v>7.1498177489620556</v>
      </c>
      <c r="I30" s="156">
        <f t="shared" si="2"/>
        <v>368.5088182660827</v>
      </c>
      <c r="J30" s="157">
        <f t="shared" si="3"/>
        <v>6.7840981710100321</v>
      </c>
      <c r="K30" s="173">
        <v>73</v>
      </c>
      <c r="L30" s="173">
        <f t="shared" si="4"/>
        <v>10.760457493369614</v>
      </c>
      <c r="M30" s="66">
        <f t="shared" si="5"/>
        <v>0</v>
      </c>
      <c r="N30" s="171">
        <f t="shared" si="1"/>
        <v>10.760457493369614</v>
      </c>
    </row>
    <row r="31" spans="1:15" x14ac:dyDescent="0.2">
      <c r="A31" s="60"/>
      <c r="B31" s="12"/>
      <c r="C31" s="237"/>
      <c r="D31" s="120" t="s">
        <v>116</v>
      </c>
      <c r="E31" s="65">
        <v>50</v>
      </c>
      <c r="F31" s="126">
        <v>4</v>
      </c>
      <c r="G31" s="127">
        <f>($C$23+E31+E31+4)*PI()+($C$23+E31+E31+8)*PI()+($C$23+E31+E31+12)*PI()+($C$23+E31+E31+16)*PI()</f>
        <v>1649.9644616653593</v>
      </c>
      <c r="H31" s="72">
        <f t="shared" si="0"/>
        <v>6.0607365990820776</v>
      </c>
      <c r="I31" s="156">
        <f t="shared" si="2"/>
        <v>431.34067133787863</v>
      </c>
      <c r="J31" s="157">
        <f t="shared" si="3"/>
        <v>5.7958828511251026</v>
      </c>
      <c r="K31" s="173">
        <v>73</v>
      </c>
      <c r="L31" s="173">
        <f t="shared" si="4"/>
        <v>12.595147603066057</v>
      </c>
      <c r="M31" s="66">
        <f t="shared" si="5"/>
        <v>0</v>
      </c>
      <c r="N31" s="171">
        <f t="shared" si="1"/>
        <v>12.595147603066057</v>
      </c>
    </row>
    <row r="32" spans="1:15" x14ac:dyDescent="0.2">
      <c r="A32" s="60"/>
      <c r="B32" s="12"/>
      <c r="C32" s="237">
        <v>26.9</v>
      </c>
      <c r="D32" s="120" t="s">
        <v>116</v>
      </c>
      <c r="E32" s="65">
        <v>9</v>
      </c>
      <c r="F32" s="126">
        <v>1</v>
      </c>
      <c r="G32" s="127">
        <f>($C$32+E32+E32+4)*PI()</f>
        <v>153.62388076054089</v>
      </c>
      <c r="H32" s="72">
        <f t="shared" si="0"/>
        <v>65.094046254353927</v>
      </c>
      <c r="I32" s="156">
        <f>($C$32+(E32*2)+(F32*2*2))*PI()</f>
        <v>153.62388076054089</v>
      </c>
      <c r="J32" s="157">
        <f t="shared" si="3"/>
        <v>16.273511563588482</v>
      </c>
      <c r="K32" s="173">
        <v>73</v>
      </c>
      <c r="L32" s="173">
        <f t="shared" si="4"/>
        <v>4.4858173182077934</v>
      </c>
      <c r="M32" s="66">
        <f t="shared" si="5"/>
        <v>0</v>
      </c>
      <c r="N32" s="171">
        <f>L32*(1-M32)</f>
        <v>4.4858173182077934</v>
      </c>
    </row>
    <row r="33" spans="1:14" x14ac:dyDescent="0.2">
      <c r="A33" s="60"/>
      <c r="B33" s="12"/>
      <c r="C33" s="237"/>
      <c r="D33" s="120" t="s">
        <v>116</v>
      </c>
      <c r="E33" s="65">
        <v>10</v>
      </c>
      <c r="F33" s="126">
        <v>2</v>
      </c>
      <c r="G33" s="127">
        <f>($C$32+E33+E33+4)*PI()+($C$32+E33+E33+8)*PI()</f>
        <v>332.38050274980014</v>
      </c>
      <c r="H33" s="72">
        <f t="shared" si="0"/>
        <v>30.086000584479269</v>
      </c>
      <c r="I33" s="156">
        <f t="shared" ref="I33:I40" si="6">($C$32+(E33*2)+(F33*2*2))*PI()</f>
        <v>172.47343668207964</v>
      </c>
      <c r="J33" s="157">
        <f t="shared" si="3"/>
        <v>14.494985709644386</v>
      </c>
      <c r="K33" s="173">
        <v>73</v>
      </c>
      <c r="L33" s="173">
        <f t="shared" si="4"/>
        <v>5.0362243511167248</v>
      </c>
      <c r="M33" s="66">
        <f t="shared" si="5"/>
        <v>0</v>
      </c>
      <c r="N33" s="171">
        <f t="shared" si="1"/>
        <v>5.0362243511167248</v>
      </c>
    </row>
    <row r="34" spans="1:14" x14ac:dyDescent="0.2">
      <c r="A34" s="60"/>
      <c r="B34" s="12"/>
      <c r="C34" s="237"/>
      <c r="D34" s="120" t="s">
        <v>116</v>
      </c>
      <c r="E34" s="65">
        <v>13</v>
      </c>
      <c r="F34" s="126">
        <v>2</v>
      </c>
      <c r="G34" s="127">
        <f>($C$32+E34+E34+4)*PI()+($C$32+E34+E34+8)*PI()</f>
        <v>370.07961459287765</v>
      </c>
      <c r="H34" s="72">
        <f t="shared" si="0"/>
        <v>27.021212749048445</v>
      </c>
      <c r="I34" s="156">
        <f t="shared" si="6"/>
        <v>191.32299260361839</v>
      </c>
      <c r="J34" s="157">
        <f t="shared" si="3"/>
        <v>13.066908299827205</v>
      </c>
      <c r="K34" s="173">
        <v>73</v>
      </c>
      <c r="L34" s="173">
        <f t="shared" si="4"/>
        <v>5.5866313840256572</v>
      </c>
      <c r="M34" s="66">
        <f t="shared" si="5"/>
        <v>0</v>
      </c>
      <c r="N34" s="171">
        <f t="shared" si="1"/>
        <v>5.5866313840256572</v>
      </c>
    </row>
    <row r="35" spans="1:14" x14ac:dyDescent="0.2">
      <c r="A35" s="60"/>
      <c r="B35" s="12"/>
      <c r="C35" s="237"/>
      <c r="D35" s="120" t="s">
        <v>116</v>
      </c>
      <c r="E35" s="65">
        <v>16</v>
      </c>
      <c r="F35" s="126">
        <v>2</v>
      </c>
      <c r="G35" s="127">
        <f>($C$32+E35+E35+4)*PI()+($C$32+E35+E35+8)*PI()</f>
        <v>407.77872643595515</v>
      </c>
      <c r="H35" s="72">
        <f t="shared" si="0"/>
        <v>24.523103712156448</v>
      </c>
      <c r="I35" s="156">
        <f t="shared" si="6"/>
        <v>210.17254852515717</v>
      </c>
      <c r="J35" s="157">
        <f t="shared" si="3"/>
        <v>11.894988272936871</v>
      </c>
      <c r="K35" s="173">
        <v>73</v>
      </c>
      <c r="L35" s="173">
        <f t="shared" si="4"/>
        <v>6.1370384169345895</v>
      </c>
      <c r="M35" s="66">
        <f t="shared" si="5"/>
        <v>0</v>
      </c>
      <c r="N35" s="171">
        <f t="shared" si="1"/>
        <v>6.1370384169345895</v>
      </c>
    </row>
    <row r="36" spans="1:14" x14ac:dyDescent="0.2">
      <c r="A36" s="60"/>
      <c r="B36" s="12"/>
      <c r="C36" s="237"/>
      <c r="D36" s="120" t="s">
        <v>116</v>
      </c>
      <c r="E36" s="65">
        <v>19</v>
      </c>
      <c r="F36" s="126">
        <v>2</v>
      </c>
      <c r="G36" s="127">
        <f>($C$32+E36+E36+4)*PI()+($C$32+E36+E36+8)*PI()</f>
        <v>445.47783827903271</v>
      </c>
      <c r="H36" s="72">
        <f t="shared" si="0"/>
        <v>22.447805795753926</v>
      </c>
      <c r="I36" s="156">
        <f t="shared" si="6"/>
        <v>229.02210444669595</v>
      </c>
      <c r="J36" s="157">
        <f t="shared" si="3"/>
        <v>10.915976892448239</v>
      </c>
      <c r="K36" s="173">
        <v>73</v>
      </c>
      <c r="L36" s="173">
        <f t="shared" si="4"/>
        <v>6.6874454498435218</v>
      </c>
      <c r="M36" s="66">
        <f t="shared" si="5"/>
        <v>0</v>
      </c>
      <c r="N36" s="171">
        <f t="shared" si="1"/>
        <v>6.6874454498435218</v>
      </c>
    </row>
    <row r="37" spans="1:14" x14ac:dyDescent="0.2">
      <c r="A37" s="60"/>
      <c r="B37" s="12"/>
      <c r="C37" s="237"/>
      <c r="D37" s="120" t="s">
        <v>116</v>
      </c>
      <c r="E37" s="65">
        <v>25</v>
      </c>
      <c r="F37" s="126">
        <v>3</v>
      </c>
      <c r="G37" s="127">
        <f>($C$32+E37+E37+4)*PI()+($C$32+E37+E37+8)*PI()+($C$32+E37+E37+12)*PI()</f>
        <v>800.16364886932047</v>
      </c>
      <c r="H37" s="72">
        <f t="shared" si="0"/>
        <v>12.497443509375367</v>
      </c>
      <c r="I37" s="156">
        <f t="shared" si="6"/>
        <v>279.28758690413264</v>
      </c>
      <c r="J37" s="157">
        <f t="shared" si="3"/>
        <v>8.9513466305902885</v>
      </c>
      <c r="K37" s="173">
        <v>73</v>
      </c>
      <c r="L37" s="173">
        <f t="shared" si="4"/>
        <v>8.1551975376006727</v>
      </c>
      <c r="M37" s="66">
        <f t="shared" si="5"/>
        <v>0</v>
      </c>
      <c r="N37" s="171">
        <f t="shared" si="1"/>
        <v>8.1551975376006727</v>
      </c>
    </row>
    <row r="38" spans="1:14" x14ac:dyDescent="0.2">
      <c r="A38" s="60"/>
      <c r="B38" s="12"/>
      <c r="C38" s="237"/>
      <c r="D38" s="120" t="s">
        <v>116</v>
      </c>
      <c r="E38" s="65">
        <v>32</v>
      </c>
      <c r="F38" s="126">
        <v>3</v>
      </c>
      <c r="G38" s="127">
        <f>($C$32+E38+E38+4)*PI()+($C$32+E38+E38+8)*PI()+($C$32+E38+E38+12)*PI()</f>
        <v>932.11054032009156</v>
      </c>
      <c r="H38" s="72">
        <f t="shared" si="0"/>
        <v>10.728341293690283</v>
      </c>
      <c r="I38" s="156">
        <f t="shared" si="6"/>
        <v>323.26988405438971</v>
      </c>
      <c r="J38" s="157">
        <f t="shared" si="3"/>
        <v>7.7334763407140592</v>
      </c>
      <c r="K38" s="173">
        <v>73</v>
      </c>
      <c r="L38" s="173">
        <f t="shared" si="4"/>
        <v>9.4394806143881791</v>
      </c>
      <c r="M38" s="66">
        <f t="shared" si="5"/>
        <v>0</v>
      </c>
      <c r="N38" s="171">
        <f t="shared" si="1"/>
        <v>9.4394806143881791</v>
      </c>
    </row>
    <row r="39" spans="1:14" x14ac:dyDescent="0.2">
      <c r="A39" s="60"/>
      <c r="B39" s="12"/>
      <c r="C39" s="237"/>
      <c r="D39" s="120" t="s">
        <v>116</v>
      </c>
      <c r="E39" s="65">
        <v>40</v>
      </c>
      <c r="F39" s="126">
        <v>4</v>
      </c>
      <c r="G39" s="127">
        <f>($C$32+E39+E39+4)*PI()+($C$32+E39+E39+8)*PI()+($C$32+E39+E39+12)*PI()+($C$32+E39+E39+16)*PI()</f>
        <v>1469.0087248185873</v>
      </c>
      <c r="H39" s="72">
        <f t="shared" si="0"/>
        <v>6.8073115094908188</v>
      </c>
      <c r="I39" s="156">
        <f t="shared" si="6"/>
        <v>386.10173712618558</v>
      </c>
      <c r="J39" s="157">
        <f t="shared" si="3"/>
        <v>6.4749773430388666</v>
      </c>
      <c r="K39" s="173">
        <v>73</v>
      </c>
      <c r="L39" s="173">
        <f t="shared" si="4"/>
        <v>11.27417072408462</v>
      </c>
      <c r="M39" s="66">
        <f t="shared" si="5"/>
        <v>0</v>
      </c>
      <c r="N39" s="171">
        <f t="shared" si="1"/>
        <v>11.27417072408462</v>
      </c>
    </row>
    <row r="40" spans="1:14" x14ac:dyDescent="0.2">
      <c r="A40" s="60"/>
      <c r="B40" s="12"/>
      <c r="C40" s="237"/>
      <c r="D40" s="120" t="s">
        <v>116</v>
      </c>
      <c r="E40" s="65">
        <v>50</v>
      </c>
      <c r="F40" s="126">
        <v>4</v>
      </c>
      <c r="G40" s="127">
        <f>($C$32+E40+E40+4)*PI()+($C$32+E40+E40+8)*PI()+($C$32+E40+E40+12)*PI()+($C$32+E40+E40+16)*PI()</f>
        <v>1720.3361371057706</v>
      </c>
      <c r="H40" s="72">
        <f t="shared" si="0"/>
        <v>5.8128174978778437</v>
      </c>
      <c r="I40" s="156">
        <f t="shared" si="6"/>
        <v>448.93359019798146</v>
      </c>
      <c r="J40" s="157">
        <f t="shared" si="3"/>
        <v>5.5687523825015859</v>
      </c>
      <c r="K40" s="173">
        <v>73</v>
      </c>
      <c r="L40" s="173">
        <f t="shared" si="4"/>
        <v>13.10886083378106</v>
      </c>
      <c r="M40" s="66">
        <f t="shared" si="5"/>
        <v>0</v>
      </c>
      <c r="N40" s="171">
        <f t="shared" si="1"/>
        <v>13.10886083378106</v>
      </c>
    </row>
    <row r="41" spans="1:14" x14ac:dyDescent="0.2">
      <c r="A41" s="60"/>
      <c r="B41" s="12"/>
      <c r="C41" s="237">
        <v>33.700000000000003</v>
      </c>
      <c r="D41" s="120" t="s">
        <v>116</v>
      </c>
      <c r="E41" s="65">
        <v>9</v>
      </c>
      <c r="F41" s="126">
        <v>1</v>
      </c>
      <c r="G41" s="127">
        <f>($C$41+E41+E41+4)*PI()</f>
        <v>174.98671080495149</v>
      </c>
      <c r="H41" s="72">
        <f t="shared" si="0"/>
        <v>57.147196801398685</v>
      </c>
      <c r="I41" s="156">
        <f>($C$41+(E41*2)+(F41*2*2))*PI()</f>
        <v>174.98671080495149</v>
      </c>
      <c r="J41" s="157">
        <f t="shared" si="3"/>
        <v>14.286799200349671</v>
      </c>
      <c r="K41" s="173">
        <v>73</v>
      </c>
      <c r="L41" s="173">
        <f t="shared" si="4"/>
        <v>5.1096119555045831</v>
      </c>
      <c r="M41" s="66">
        <f t="shared" si="5"/>
        <v>0</v>
      </c>
      <c r="N41" s="171">
        <f t="shared" si="1"/>
        <v>5.1096119555045831</v>
      </c>
    </row>
    <row r="42" spans="1:14" x14ac:dyDescent="0.2">
      <c r="A42" s="60"/>
      <c r="B42" s="12"/>
      <c r="C42" s="237"/>
      <c r="D42" s="120" t="s">
        <v>116</v>
      </c>
      <c r="E42" s="65">
        <v>10</v>
      </c>
      <c r="F42" s="126">
        <v>2</v>
      </c>
      <c r="G42" s="127">
        <f>($C$41+E42+E42+4)*PI()+($C$41+E42+E42+8)*PI()</f>
        <v>375.10616283862134</v>
      </c>
      <c r="H42" s="72">
        <f t="shared" si="0"/>
        <v>26.659119445878613</v>
      </c>
      <c r="I42" s="156">
        <f t="shared" ref="I42:I49" si="7">($C$41+(E42*2)+(F42*2*2))*PI()</f>
        <v>193.83626672649024</v>
      </c>
      <c r="J42" s="157">
        <f t="shared" si="3"/>
        <v>12.897483232730579</v>
      </c>
      <c r="K42" s="173">
        <v>73</v>
      </c>
      <c r="L42" s="173">
        <f t="shared" si="4"/>
        <v>5.6600189884135146</v>
      </c>
      <c r="M42" s="66">
        <f t="shared" si="5"/>
        <v>0</v>
      </c>
      <c r="N42" s="171">
        <f t="shared" si="1"/>
        <v>5.6600189884135146</v>
      </c>
    </row>
    <row r="43" spans="1:14" x14ac:dyDescent="0.2">
      <c r="A43" s="60"/>
      <c r="B43" s="12"/>
      <c r="C43" s="237"/>
      <c r="D43" s="120" t="s">
        <v>116</v>
      </c>
      <c r="E43" s="65">
        <v>13</v>
      </c>
      <c r="F43" s="126">
        <v>2</v>
      </c>
      <c r="G43" s="127">
        <f>($C$41+E43+E43+4)*PI()+($C$41+E43+E43+8)*PI()</f>
        <v>412.80527468169885</v>
      </c>
      <c r="H43" s="72">
        <f t="shared" si="0"/>
        <v>24.22449666543308</v>
      </c>
      <c r="I43" s="156">
        <f t="shared" si="7"/>
        <v>212.68582264802902</v>
      </c>
      <c r="J43" s="157">
        <f t="shared" si="3"/>
        <v>11.754427111661398</v>
      </c>
      <c r="K43" s="173">
        <v>73</v>
      </c>
      <c r="L43" s="173">
        <f t="shared" si="4"/>
        <v>6.2104260213224469</v>
      </c>
      <c r="M43" s="66">
        <f t="shared" si="5"/>
        <v>0</v>
      </c>
      <c r="N43" s="171">
        <f t="shared" si="1"/>
        <v>6.2104260213224469</v>
      </c>
    </row>
    <row r="44" spans="1:14" x14ac:dyDescent="0.2">
      <c r="A44" s="60"/>
      <c r="B44" s="12"/>
      <c r="C44" s="237"/>
      <c r="D44" s="120" t="s">
        <v>116</v>
      </c>
      <c r="E44" s="65">
        <v>16</v>
      </c>
      <c r="F44" s="126">
        <v>2</v>
      </c>
      <c r="G44" s="127">
        <f>($C$41+E44+E44+4)*PI()+($C$41+E44+E44+8)*PI()</f>
        <v>450.50438652477635</v>
      </c>
      <c r="H44" s="72">
        <f t="shared" si="0"/>
        <v>22.197342132760856</v>
      </c>
      <c r="I44" s="156">
        <f t="shared" si="7"/>
        <v>231.53537856956777</v>
      </c>
      <c r="J44" s="157">
        <f t="shared" si="3"/>
        <v>10.797485962815152</v>
      </c>
      <c r="K44" s="173">
        <v>73</v>
      </c>
      <c r="L44" s="173">
        <f t="shared" si="4"/>
        <v>6.7608330542313784</v>
      </c>
      <c r="M44" s="66">
        <f t="shared" si="5"/>
        <v>0</v>
      </c>
      <c r="N44" s="171">
        <f t="shared" si="1"/>
        <v>6.7608330542313784</v>
      </c>
    </row>
    <row r="45" spans="1:14" x14ac:dyDescent="0.2">
      <c r="A45" s="60"/>
      <c r="B45" s="12"/>
      <c r="C45" s="237"/>
      <c r="D45" s="120" t="s">
        <v>116</v>
      </c>
      <c r="E45" s="65">
        <v>19</v>
      </c>
      <c r="F45" s="126">
        <v>2</v>
      </c>
      <c r="G45" s="127">
        <f>($C$41+E45+E45+4)*PI()+($C$41+E45+E45+8)*PI()</f>
        <v>488.20349836785385</v>
      </c>
      <c r="H45" s="72">
        <f t="shared" si="0"/>
        <v>20.483261659188589</v>
      </c>
      <c r="I45" s="156">
        <f t="shared" si="7"/>
        <v>250.38493449110652</v>
      </c>
      <c r="J45" s="157">
        <f t="shared" si="3"/>
        <v>9.9846262918378503</v>
      </c>
      <c r="K45" s="173">
        <v>73</v>
      </c>
      <c r="L45" s="173">
        <f t="shared" si="4"/>
        <v>7.3112400871403107</v>
      </c>
      <c r="M45" s="66">
        <f t="shared" si="5"/>
        <v>0</v>
      </c>
      <c r="N45" s="171">
        <f t="shared" si="1"/>
        <v>7.3112400871403107</v>
      </c>
    </row>
    <row r="46" spans="1:14" x14ac:dyDescent="0.2">
      <c r="A46" s="60"/>
      <c r="B46" s="12"/>
      <c r="C46" s="237"/>
      <c r="D46" s="120" t="s">
        <v>116</v>
      </c>
      <c r="E46" s="65">
        <v>25</v>
      </c>
      <c r="F46" s="126">
        <v>3</v>
      </c>
      <c r="G46" s="127">
        <f>($C$41+E46+E46+4)*PI()+($C$41+E46+E46+8)*PI()+($C$41+E46+E46+12)*PI()</f>
        <v>864.2521390025521</v>
      </c>
      <c r="H46" s="72">
        <f t="shared" si="0"/>
        <v>11.570697425801187</v>
      </c>
      <c r="I46" s="156">
        <f t="shared" si="7"/>
        <v>300.65041694854324</v>
      </c>
      <c r="J46" s="157">
        <f t="shared" si="3"/>
        <v>8.3153052817082198</v>
      </c>
      <c r="K46" s="173">
        <v>73</v>
      </c>
      <c r="L46" s="173">
        <f t="shared" si="4"/>
        <v>8.7789921748974624</v>
      </c>
      <c r="M46" s="66">
        <f t="shared" si="5"/>
        <v>0</v>
      </c>
      <c r="N46" s="171">
        <f t="shared" si="1"/>
        <v>8.7789921748974624</v>
      </c>
    </row>
    <row r="47" spans="1:14" x14ac:dyDescent="0.2">
      <c r="A47" s="60"/>
      <c r="B47" s="12"/>
      <c r="C47" s="237"/>
      <c r="D47" s="120" t="s">
        <v>116</v>
      </c>
      <c r="E47" s="65">
        <v>32</v>
      </c>
      <c r="F47" s="126">
        <v>3</v>
      </c>
      <c r="G47" s="127">
        <f>($C$41+E47+E47+4)*PI()+($C$41+E47+E47+8)*PI()+($C$41+E47+E47+12)*PI()</f>
        <v>996.19903045332342</v>
      </c>
      <c r="H47" s="72">
        <f t="shared" si="0"/>
        <v>10.038154720397056</v>
      </c>
      <c r="I47" s="156">
        <f t="shared" si="7"/>
        <v>344.63271409880031</v>
      </c>
      <c r="J47" s="157">
        <f t="shared" si="3"/>
        <v>7.2540995028211182</v>
      </c>
      <c r="K47" s="173">
        <v>73</v>
      </c>
      <c r="L47" s="173">
        <f t="shared" si="4"/>
        <v>10.063275251684969</v>
      </c>
      <c r="M47" s="66">
        <f t="shared" si="5"/>
        <v>0</v>
      </c>
      <c r="N47" s="171">
        <f t="shared" si="1"/>
        <v>10.063275251684969</v>
      </c>
    </row>
    <row r="48" spans="1:14" x14ac:dyDescent="0.2">
      <c r="A48" s="60"/>
      <c r="B48" s="12"/>
      <c r="C48" s="237"/>
      <c r="D48" s="120" t="s">
        <v>116</v>
      </c>
      <c r="E48" s="65">
        <v>40</v>
      </c>
      <c r="F48" s="126">
        <v>4</v>
      </c>
      <c r="G48" s="127">
        <f>($C$41+E48+E48+4)*PI()+($C$41+E48+E48+8)*PI()+($C$41+E48+E48+12)*PI()+($C$41+E48+E48+16)*PI()</f>
        <v>1554.4600449962297</v>
      </c>
      <c r="H48" s="72">
        <f t="shared" si="0"/>
        <v>6.4331019843126649</v>
      </c>
      <c r="I48" s="156">
        <f t="shared" si="7"/>
        <v>407.46456717059613</v>
      </c>
      <c r="J48" s="157">
        <f t="shared" si="3"/>
        <v>6.1355028177291961</v>
      </c>
      <c r="K48" s="173">
        <v>73</v>
      </c>
      <c r="L48" s="173">
        <f t="shared" si="4"/>
        <v>11.897965361381408</v>
      </c>
      <c r="M48" s="66">
        <f t="shared" si="5"/>
        <v>0</v>
      </c>
      <c r="N48" s="171">
        <f t="shared" si="1"/>
        <v>11.897965361381408</v>
      </c>
    </row>
    <row r="49" spans="1:14" x14ac:dyDescent="0.2">
      <c r="A49" s="60"/>
      <c r="B49" s="12"/>
      <c r="C49" s="237"/>
      <c r="D49" s="120" t="s">
        <v>116</v>
      </c>
      <c r="E49" s="65">
        <v>50</v>
      </c>
      <c r="F49" s="126">
        <v>4</v>
      </c>
      <c r="G49" s="127">
        <f>($C$41+E49+E49+4)*PI()+($C$41+E49+E49+8)*PI()+($C$41+E49+E49+12)*PI()+($C$41+E49+E49+16)*PI()</f>
        <v>1805.787457283413</v>
      </c>
      <c r="H49" s="72">
        <f t="shared" si="0"/>
        <v>5.5377502815551614</v>
      </c>
      <c r="I49" s="156">
        <f t="shared" si="7"/>
        <v>470.296420242392</v>
      </c>
      <c r="J49" s="157">
        <f t="shared" si="3"/>
        <v>5.3157963624547548</v>
      </c>
      <c r="K49" s="173">
        <v>73</v>
      </c>
      <c r="L49" s="173">
        <f t="shared" si="4"/>
        <v>13.732655471077846</v>
      </c>
      <c r="M49" s="66">
        <f t="shared" si="5"/>
        <v>0</v>
      </c>
      <c r="N49" s="171">
        <f t="shared" si="1"/>
        <v>13.732655471077846</v>
      </c>
    </row>
    <row r="50" spans="1:14" x14ac:dyDescent="0.2">
      <c r="A50" s="60"/>
      <c r="B50" s="12"/>
      <c r="C50" s="237">
        <v>42.4</v>
      </c>
      <c r="D50" s="120" t="s">
        <v>116</v>
      </c>
      <c r="E50" s="65">
        <v>9</v>
      </c>
      <c r="F50" s="126">
        <v>1</v>
      </c>
      <c r="G50" s="127">
        <f>($C$50+E50+E50+4)*PI()</f>
        <v>202.31856689118268</v>
      </c>
      <c r="H50" s="72">
        <f t="shared" si="0"/>
        <v>49.427000960215942</v>
      </c>
      <c r="I50" s="156">
        <f>($C$50+(E50*2)+(F50*2*2))*PI()</f>
        <v>202.31856689118268</v>
      </c>
      <c r="J50" s="157">
        <f t="shared" si="3"/>
        <v>12.356750240053985</v>
      </c>
      <c r="K50" s="173">
        <v>73</v>
      </c>
      <c r="L50" s="173">
        <f t="shared" si="4"/>
        <v>5.9077021532225347</v>
      </c>
      <c r="M50" s="66">
        <f t="shared" si="5"/>
        <v>0</v>
      </c>
      <c r="N50" s="171">
        <f t="shared" si="1"/>
        <v>5.9077021532225347</v>
      </c>
    </row>
    <row r="51" spans="1:14" x14ac:dyDescent="0.2">
      <c r="A51" s="60"/>
      <c r="B51" s="12"/>
      <c r="C51" s="237"/>
      <c r="D51" s="120" t="s">
        <v>116</v>
      </c>
      <c r="E51" s="65">
        <v>10</v>
      </c>
      <c r="F51" s="126">
        <v>2</v>
      </c>
      <c r="G51" s="127">
        <f>($C$50+E51+E51+4)*PI()+($C$50+E51+E51+8)*PI()</f>
        <v>429.76987501108374</v>
      </c>
      <c r="H51" s="72">
        <f t="shared" si="0"/>
        <v>23.268266533902825</v>
      </c>
      <c r="I51" s="156">
        <f t="shared" ref="I51:I58" si="8">($C$50+(E51*2)+(F51*2*2))*PI()</f>
        <v>221.16812281272146</v>
      </c>
      <c r="J51" s="157">
        <f t="shared" si="3"/>
        <v>11.303618117322111</v>
      </c>
      <c r="K51" s="173">
        <v>73</v>
      </c>
      <c r="L51" s="173">
        <f t="shared" si="4"/>
        <v>6.4581091861314661</v>
      </c>
      <c r="M51" s="66">
        <f t="shared" si="5"/>
        <v>0</v>
      </c>
      <c r="N51" s="171">
        <f t="shared" si="1"/>
        <v>6.4581091861314661</v>
      </c>
    </row>
    <row r="52" spans="1:14" x14ac:dyDescent="0.2">
      <c r="A52" s="60"/>
      <c r="B52" s="12"/>
      <c r="C52" s="237"/>
      <c r="D52" s="120" t="s">
        <v>116</v>
      </c>
      <c r="E52" s="65">
        <v>13</v>
      </c>
      <c r="F52" s="126">
        <v>2</v>
      </c>
      <c r="G52" s="127">
        <f>($C$50+E52+E52+4)*PI()+($C$50+E52+E52+8)*PI()</f>
        <v>467.46898685416124</v>
      </c>
      <c r="H52" s="72">
        <f t="shared" si="0"/>
        <v>21.391793426330018</v>
      </c>
      <c r="I52" s="156">
        <f t="shared" si="8"/>
        <v>240.01767873426022</v>
      </c>
      <c r="J52" s="157">
        <f t="shared" si="3"/>
        <v>10.415899417008857</v>
      </c>
      <c r="K52" s="173">
        <v>73</v>
      </c>
      <c r="L52" s="173">
        <f t="shared" si="4"/>
        <v>7.0085162190403976</v>
      </c>
      <c r="M52" s="66">
        <f t="shared" si="5"/>
        <v>0</v>
      </c>
      <c r="N52" s="171">
        <f t="shared" si="1"/>
        <v>7.0085162190403976</v>
      </c>
    </row>
    <row r="53" spans="1:14" x14ac:dyDescent="0.2">
      <c r="A53" s="60"/>
      <c r="B53" s="12"/>
      <c r="C53" s="237"/>
      <c r="D53" s="120" t="s">
        <v>116</v>
      </c>
      <c r="E53" s="65">
        <v>16</v>
      </c>
      <c r="F53" s="126">
        <v>2</v>
      </c>
      <c r="G53" s="127">
        <f>($C$50+E53+E53+4)*PI()+($C$50+E53+E53+8)*PI()</f>
        <v>505.1680986972388</v>
      </c>
      <c r="H53" s="72">
        <f t="shared" si="0"/>
        <v>19.795390931827775</v>
      </c>
      <c r="I53" s="156">
        <f t="shared" si="8"/>
        <v>258.867234655799</v>
      </c>
      <c r="J53" s="157">
        <f t="shared" si="3"/>
        <v>9.6574601390713184</v>
      </c>
      <c r="K53" s="173">
        <v>73</v>
      </c>
      <c r="L53" s="173">
        <f t="shared" si="4"/>
        <v>7.5589232519493299</v>
      </c>
      <c r="M53" s="66">
        <f t="shared" si="5"/>
        <v>0</v>
      </c>
      <c r="N53" s="171">
        <f t="shared" si="1"/>
        <v>7.5589232519493299</v>
      </c>
    </row>
    <row r="54" spans="1:14" x14ac:dyDescent="0.2">
      <c r="A54" s="60"/>
      <c r="B54" s="12"/>
      <c r="C54" s="237"/>
      <c r="D54" s="120" t="s">
        <v>116</v>
      </c>
      <c r="E54" s="65">
        <v>19</v>
      </c>
      <c r="F54" s="126">
        <v>2</v>
      </c>
      <c r="G54" s="127">
        <f>($C$50+E54+E54+4)*PI()+($C$50+E54+E54+8)*PI()</f>
        <v>542.86721054031636</v>
      </c>
      <c r="H54" s="72">
        <f t="shared" si="0"/>
        <v>18.420711006006403</v>
      </c>
      <c r="I54" s="156">
        <f t="shared" si="8"/>
        <v>277.71679057733775</v>
      </c>
      <c r="J54" s="157">
        <f t="shared" si="3"/>
        <v>9.0019764192248477</v>
      </c>
      <c r="K54" s="173">
        <v>73</v>
      </c>
      <c r="L54" s="173">
        <f t="shared" si="4"/>
        <v>8.1093302848582631</v>
      </c>
      <c r="M54" s="66">
        <f t="shared" si="5"/>
        <v>0</v>
      </c>
      <c r="N54" s="171">
        <f t="shared" si="1"/>
        <v>8.1093302848582631</v>
      </c>
    </row>
    <row r="55" spans="1:14" x14ac:dyDescent="0.2">
      <c r="A55" s="60"/>
      <c r="B55" s="12"/>
      <c r="C55" s="237"/>
      <c r="D55" s="120" t="s">
        <v>116</v>
      </c>
      <c r="E55" s="65">
        <v>25</v>
      </c>
      <c r="F55" s="126">
        <v>3</v>
      </c>
      <c r="G55" s="127">
        <f>($C$50+E55+E55+4)*PI()+($C$50+E55+E55+8)*PI()+($C$50+E55+E55+12)*PI()</f>
        <v>946.24770726124575</v>
      </c>
      <c r="H55" s="72">
        <f t="shared" ref="H55:H86" si="9">10000/G55</f>
        <v>10.568057310218814</v>
      </c>
      <c r="I55" s="156">
        <f t="shared" si="8"/>
        <v>327.98227303477444</v>
      </c>
      <c r="J55" s="157">
        <f t="shared" si="3"/>
        <v>7.6223631748992018</v>
      </c>
      <c r="K55" s="173">
        <v>73</v>
      </c>
      <c r="L55" s="173">
        <f t="shared" si="4"/>
        <v>9.5770823726154131</v>
      </c>
      <c r="M55" s="66">
        <f t="shared" si="5"/>
        <v>0</v>
      </c>
      <c r="N55" s="171">
        <f t="shared" si="1"/>
        <v>9.5770823726154131</v>
      </c>
    </row>
    <row r="56" spans="1:14" x14ac:dyDescent="0.2">
      <c r="A56" s="60"/>
      <c r="B56" s="12"/>
      <c r="C56" s="237"/>
      <c r="D56" s="120" t="s">
        <v>116</v>
      </c>
      <c r="E56" s="65">
        <v>32</v>
      </c>
      <c r="F56" s="126">
        <v>3</v>
      </c>
      <c r="G56" s="127">
        <f>($C$50+E56+E56+4)*PI()+($C$50+E56+E56+8)*PI()+($C$50+E56+E56+12)*PI()</f>
        <v>1078.1945987120171</v>
      </c>
      <c r="H56" s="72">
        <f t="shared" si="9"/>
        <v>9.274763583443784</v>
      </c>
      <c r="I56" s="156">
        <f t="shared" si="8"/>
        <v>371.9645701850315</v>
      </c>
      <c r="J56" s="157">
        <f t="shared" si="3"/>
        <v>6.7210702319212556</v>
      </c>
      <c r="K56" s="173">
        <v>73</v>
      </c>
      <c r="L56" s="173">
        <f t="shared" si="4"/>
        <v>10.861365449402921</v>
      </c>
      <c r="M56" s="66">
        <f t="shared" ref="M56:M87" si="10">$M$23</f>
        <v>0</v>
      </c>
      <c r="N56" s="171">
        <f t="shared" si="1"/>
        <v>10.861365449402921</v>
      </c>
    </row>
    <row r="57" spans="1:14" x14ac:dyDescent="0.2">
      <c r="A57" s="60"/>
      <c r="B57" s="12"/>
      <c r="C57" s="237"/>
      <c r="D57" s="120" t="s">
        <v>116</v>
      </c>
      <c r="E57" s="65">
        <v>40</v>
      </c>
      <c r="F57" s="126">
        <v>4</v>
      </c>
      <c r="G57" s="127">
        <f>($C$50+E57+E57+4)*PI()+($C$50+E57+E57+8)*PI()+($C$50+E57+E57+12)*PI()+($C$50+E57+E57+16)*PI()</f>
        <v>1663.7874693411545</v>
      </c>
      <c r="H57" s="72">
        <f t="shared" si="9"/>
        <v>6.0103830472770143</v>
      </c>
      <c r="I57" s="156">
        <f t="shared" si="8"/>
        <v>434.79642325682738</v>
      </c>
      <c r="J57" s="157">
        <f t="shared" si="3"/>
        <v>5.7498173082332134</v>
      </c>
      <c r="K57" s="173">
        <v>73</v>
      </c>
      <c r="L57" s="173">
        <f t="shared" si="4"/>
        <v>12.696055559099358</v>
      </c>
      <c r="M57" s="66">
        <f t="shared" si="10"/>
        <v>0</v>
      </c>
      <c r="N57" s="171">
        <f t="shared" si="1"/>
        <v>12.696055559099358</v>
      </c>
    </row>
    <row r="58" spans="1:14" x14ac:dyDescent="0.2">
      <c r="A58" s="60"/>
      <c r="B58" s="12"/>
      <c r="C58" s="237"/>
      <c r="D58" s="120" t="s">
        <v>116</v>
      </c>
      <c r="E58" s="65">
        <v>50</v>
      </c>
      <c r="F58" s="126">
        <v>4</v>
      </c>
      <c r="G58" s="127">
        <f>($C$50+E58+E58+4)*PI()+($C$50+E58+E58+8)*PI()+($C$50+E58+E58+12)*PI()+($C$50+E58+E58+16)*PI()</f>
        <v>1915.114881628338</v>
      </c>
      <c r="H58" s="72">
        <f t="shared" si="9"/>
        <v>5.2216188678443354</v>
      </c>
      <c r="I58" s="156">
        <f t="shared" si="8"/>
        <v>497.62827632862326</v>
      </c>
      <c r="J58" s="157">
        <f t="shared" si="3"/>
        <v>5.0238302743653831</v>
      </c>
      <c r="K58" s="173">
        <v>73</v>
      </c>
      <c r="L58" s="173">
        <f t="shared" si="4"/>
        <v>14.530745668795799</v>
      </c>
      <c r="M58" s="66">
        <f t="shared" si="10"/>
        <v>0</v>
      </c>
      <c r="N58" s="171">
        <f t="shared" si="1"/>
        <v>14.530745668795799</v>
      </c>
    </row>
    <row r="59" spans="1:14" x14ac:dyDescent="0.2">
      <c r="A59" s="60"/>
      <c r="B59" s="12"/>
      <c r="C59" s="237">
        <v>48.3</v>
      </c>
      <c r="D59" s="120" t="s">
        <v>116</v>
      </c>
      <c r="E59" s="65">
        <v>9</v>
      </c>
      <c r="F59" s="126">
        <v>1</v>
      </c>
      <c r="G59" s="127">
        <f>($C$59+E59+E59+4)*PI()</f>
        <v>220.85396354736244</v>
      </c>
      <c r="H59" s="72">
        <f t="shared" si="9"/>
        <v>45.278788930837941</v>
      </c>
      <c r="I59" s="156">
        <f>($C$59+(E59*2)+(F59*2*2))*PI()</f>
        <v>220.85396354736244</v>
      </c>
      <c r="J59" s="157">
        <f t="shared" si="3"/>
        <v>11.319697232709485</v>
      </c>
      <c r="K59" s="173">
        <v>73</v>
      </c>
      <c r="L59" s="173">
        <f t="shared" si="4"/>
        <v>6.4489357355829826</v>
      </c>
      <c r="M59" s="66">
        <f t="shared" si="10"/>
        <v>0</v>
      </c>
      <c r="N59" s="171">
        <f t="shared" si="1"/>
        <v>6.4489357355829826</v>
      </c>
    </row>
    <row r="60" spans="1:14" x14ac:dyDescent="0.2">
      <c r="A60" s="60"/>
      <c r="B60" s="12"/>
      <c r="C60" s="237"/>
      <c r="D60" s="120" t="s">
        <v>116</v>
      </c>
      <c r="E60" s="65">
        <v>10</v>
      </c>
      <c r="F60" s="126">
        <v>2</v>
      </c>
      <c r="G60" s="127">
        <f>($C$59+E60+E60+4)*PI()+($C$59+E60+E60+8)*PI()</f>
        <v>466.8406683234432</v>
      </c>
      <c r="H60" s="72">
        <f t="shared" si="9"/>
        <v>21.420584534575418</v>
      </c>
      <c r="I60" s="156">
        <f t="shared" ref="I60:I67" si="11">($C$59+(E60*2)+(F60*2*2))*PI()</f>
        <v>239.70351946890119</v>
      </c>
      <c r="J60" s="157">
        <f t="shared" si="3"/>
        <v>10.429550661329971</v>
      </c>
      <c r="K60" s="173">
        <v>73</v>
      </c>
      <c r="L60" s="173">
        <f t="shared" si="4"/>
        <v>6.9993427684919149</v>
      </c>
      <c r="M60" s="66">
        <f t="shared" si="10"/>
        <v>0</v>
      </c>
      <c r="N60" s="171">
        <f t="shared" si="1"/>
        <v>6.9993427684919149</v>
      </c>
    </row>
    <row r="61" spans="1:14" x14ac:dyDescent="0.2">
      <c r="A61" s="60"/>
      <c r="B61" s="12"/>
      <c r="C61" s="237"/>
      <c r="D61" s="120" t="s">
        <v>116</v>
      </c>
      <c r="E61" s="65">
        <v>13</v>
      </c>
      <c r="F61" s="126">
        <v>2</v>
      </c>
      <c r="G61" s="127">
        <f>($C$59+E61+E61+4)*PI()+($C$59+E61+E61+8)*PI()</f>
        <v>504.53978016652076</v>
      </c>
      <c r="H61" s="72">
        <f t="shared" si="9"/>
        <v>19.820042726263431</v>
      </c>
      <c r="I61" s="156">
        <f t="shared" si="11"/>
        <v>258.55307539043997</v>
      </c>
      <c r="J61" s="157">
        <f t="shared" si="3"/>
        <v>9.6691945985355616</v>
      </c>
      <c r="K61" s="173">
        <v>73</v>
      </c>
      <c r="L61" s="173">
        <f t="shared" si="4"/>
        <v>7.5497498014008473</v>
      </c>
      <c r="M61" s="66">
        <f t="shared" si="10"/>
        <v>0</v>
      </c>
      <c r="N61" s="171">
        <f t="shared" si="1"/>
        <v>7.5497498014008473</v>
      </c>
    </row>
    <row r="62" spans="1:14" x14ac:dyDescent="0.2">
      <c r="A62" s="60"/>
      <c r="B62" s="12"/>
      <c r="C62" s="237"/>
      <c r="D62" s="120" t="s">
        <v>116</v>
      </c>
      <c r="E62" s="65">
        <v>16</v>
      </c>
      <c r="F62" s="126">
        <v>2</v>
      </c>
      <c r="G62" s="127">
        <f>($C$59+E62+E62+4)*PI()+($C$59+E62+E62+8)*PI()</f>
        <v>542.2388920095982</v>
      </c>
      <c r="H62" s="72">
        <f t="shared" si="9"/>
        <v>18.442055978203403</v>
      </c>
      <c r="I62" s="156">
        <f t="shared" si="11"/>
        <v>277.40263131197872</v>
      </c>
      <c r="J62" s="157">
        <f t="shared" si="3"/>
        <v>9.0121711830065312</v>
      </c>
      <c r="K62" s="173">
        <v>73</v>
      </c>
      <c r="L62" s="173">
        <f t="shared" si="4"/>
        <v>8.1001568343097787</v>
      </c>
      <c r="M62" s="66">
        <f t="shared" si="10"/>
        <v>0</v>
      </c>
      <c r="N62" s="171">
        <f t="shared" si="1"/>
        <v>8.1001568343097787</v>
      </c>
    </row>
    <row r="63" spans="1:14" x14ac:dyDescent="0.2">
      <c r="A63" s="60"/>
      <c r="B63" s="12"/>
      <c r="C63" s="237"/>
      <c r="D63" s="120" t="s">
        <v>116</v>
      </c>
      <c r="E63" s="65">
        <v>19</v>
      </c>
      <c r="F63" s="126">
        <v>2</v>
      </c>
      <c r="G63" s="127">
        <f>($C$59+E63+E63+4)*PI()+($C$59+E63+E63+8)*PI()</f>
        <v>579.93800385267582</v>
      </c>
      <c r="H63" s="72">
        <f t="shared" si="9"/>
        <v>17.243222436825064</v>
      </c>
      <c r="I63" s="156">
        <f t="shared" si="11"/>
        <v>296.25218723351747</v>
      </c>
      <c r="J63" s="157">
        <f t="shared" si="3"/>
        <v>8.4387562615002842</v>
      </c>
      <c r="K63" s="173">
        <v>73</v>
      </c>
      <c r="L63" s="173">
        <f t="shared" si="4"/>
        <v>8.6505638672187093</v>
      </c>
      <c r="M63" s="66">
        <f t="shared" si="10"/>
        <v>0</v>
      </c>
      <c r="N63" s="171">
        <f t="shared" si="1"/>
        <v>8.6505638672187093</v>
      </c>
    </row>
    <row r="64" spans="1:14" x14ac:dyDescent="0.2">
      <c r="A64" s="60"/>
      <c r="B64" s="12"/>
      <c r="C64" s="237"/>
      <c r="D64" s="120" t="s">
        <v>116</v>
      </c>
      <c r="E64" s="65">
        <v>25</v>
      </c>
      <c r="F64" s="126">
        <v>3</v>
      </c>
      <c r="G64" s="127">
        <f>($C$59+E64+E64+4)*PI()+($C$59+E64+E64+8)*PI()+($C$59+E64+E64+12)*PI()</f>
        <v>1001.8538972297849</v>
      </c>
      <c r="H64" s="72">
        <f t="shared" si="9"/>
        <v>9.9814953334522016</v>
      </c>
      <c r="I64" s="156">
        <f t="shared" si="11"/>
        <v>346.51766969095416</v>
      </c>
      <c r="J64" s="157">
        <f t="shared" si="3"/>
        <v>7.214639306069599</v>
      </c>
      <c r="K64" s="173">
        <v>73</v>
      </c>
      <c r="L64" s="173">
        <f t="shared" si="4"/>
        <v>10.118315954975861</v>
      </c>
      <c r="M64" s="66">
        <f t="shared" si="10"/>
        <v>0</v>
      </c>
      <c r="N64" s="171">
        <f t="shared" si="1"/>
        <v>10.118315954975861</v>
      </c>
    </row>
    <row r="65" spans="1:14" x14ac:dyDescent="0.2">
      <c r="A65" s="60"/>
      <c r="B65" s="12"/>
      <c r="C65" s="237"/>
      <c r="D65" s="120" t="s">
        <v>116</v>
      </c>
      <c r="E65" s="65">
        <v>32</v>
      </c>
      <c r="F65" s="126">
        <v>3</v>
      </c>
      <c r="G65" s="127">
        <f>($C$59+E65+E65+4)*PI()+($C$59+E65+E65+8)*PI()+($C$59+E65+E65+12)*PI()</f>
        <v>1133.8007886805563</v>
      </c>
      <c r="H65" s="72">
        <f t="shared" si="9"/>
        <v>8.8198915539980796</v>
      </c>
      <c r="I65" s="156">
        <f t="shared" si="11"/>
        <v>390.49996684121129</v>
      </c>
      <c r="J65" s="157">
        <f t="shared" si="3"/>
        <v>6.4020491991912847</v>
      </c>
      <c r="K65" s="173">
        <v>73</v>
      </c>
      <c r="L65" s="173">
        <f t="shared" si="4"/>
        <v>11.402599031763369</v>
      </c>
      <c r="M65" s="66">
        <f t="shared" si="10"/>
        <v>0</v>
      </c>
      <c r="N65" s="171">
        <f t="shared" si="1"/>
        <v>11.402599031763369</v>
      </c>
    </row>
    <row r="66" spans="1:14" x14ac:dyDescent="0.2">
      <c r="A66" s="60"/>
      <c r="B66" s="12"/>
      <c r="C66" s="237"/>
      <c r="D66" s="120" t="s">
        <v>116</v>
      </c>
      <c r="E66" s="65">
        <v>40</v>
      </c>
      <c r="F66" s="126">
        <v>4</v>
      </c>
      <c r="G66" s="127">
        <f>($C$59+E66+E66+4)*PI()+($C$59+E66+E66+8)*PI()+($C$59+E66+E66+12)*PI()+($C$59+E66+E66+16)*PI()</f>
        <v>1737.9290559658737</v>
      </c>
      <c r="H66" s="72">
        <f t="shared" si="9"/>
        <v>5.753974804479224</v>
      </c>
      <c r="I66" s="156">
        <f t="shared" si="11"/>
        <v>453.33181991300717</v>
      </c>
      <c r="J66" s="157">
        <f t="shared" si="3"/>
        <v>5.5147242928584665</v>
      </c>
      <c r="K66" s="173">
        <v>73</v>
      </c>
      <c r="L66" s="173">
        <f t="shared" si="4"/>
        <v>13.237289141459808</v>
      </c>
      <c r="M66" s="66">
        <f t="shared" si="10"/>
        <v>0</v>
      </c>
      <c r="N66" s="171">
        <f t="shared" si="1"/>
        <v>13.237289141459808</v>
      </c>
    </row>
    <row r="67" spans="1:14" x14ac:dyDescent="0.2">
      <c r="A67" s="60"/>
      <c r="B67" s="12"/>
      <c r="C67" s="237"/>
      <c r="D67" s="120" t="s">
        <v>116</v>
      </c>
      <c r="E67" s="65">
        <v>50</v>
      </c>
      <c r="F67" s="126">
        <v>4</v>
      </c>
      <c r="G67" s="127">
        <f>($C$59+E67+E67+4)*PI()+($C$59+E67+E67+8)*PI()+($C$59+E67+E67+12)*PI()+($C$59+E67+E67+16)*PI()</f>
        <v>1989.2564682530572</v>
      </c>
      <c r="H67" s="72">
        <f t="shared" si="9"/>
        <v>5.027003887930996</v>
      </c>
      <c r="I67" s="156">
        <f t="shared" si="11"/>
        <v>516.16367298480304</v>
      </c>
      <c r="J67" s="157">
        <f t="shared" si="3"/>
        <v>4.8434249267162306</v>
      </c>
      <c r="K67" s="173">
        <v>73</v>
      </c>
      <c r="L67" s="173">
        <f t="shared" si="4"/>
        <v>15.071979251156248</v>
      </c>
      <c r="M67" s="66">
        <f t="shared" si="10"/>
        <v>0</v>
      </c>
      <c r="N67" s="171">
        <f t="shared" si="1"/>
        <v>15.071979251156248</v>
      </c>
    </row>
    <row r="68" spans="1:14" x14ac:dyDescent="0.2">
      <c r="A68" s="60"/>
      <c r="B68" s="12"/>
      <c r="C68" s="237">
        <v>60.3</v>
      </c>
      <c r="D68" s="120" t="s">
        <v>116</v>
      </c>
      <c r="E68" s="65">
        <v>9</v>
      </c>
      <c r="F68" s="126">
        <v>1</v>
      </c>
      <c r="G68" s="127">
        <f>($C$68+E68+E68+4)*PI()</f>
        <v>258.55307539043997</v>
      </c>
      <c r="H68" s="72">
        <f t="shared" si="9"/>
        <v>38.676778394142246</v>
      </c>
      <c r="I68" s="156">
        <f>($C$68+(E68*2)+(F68*2*2))*PI()</f>
        <v>258.55307539043997</v>
      </c>
      <c r="J68" s="157">
        <f t="shared" si="3"/>
        <v>9.6691945985355616</v>
      </c>
      <c r="K68" s="173">
        <v>73</v>
      </c>
      <c r="L68" s="173">
        <f t="shared" si="4"/>
        <v>7.5497498014008473</v>
      </c>
      <c r="M68" s="66">
        <f t="shared" si="10"/>
        <v>0</v>
      </c>
      <c r="N68" s="171">
        <f t="shared" si="1"/>
        <v>7.5497498014008473</v>
      </c>
    </row>
    <row r="69" spans="1:14" x14ac:dyDescent="0.2">
      <c r="A69" s="60"/>
      <c r="B69" s="12"/>
      <c r="C69" s="237"/>
      <c r="D69" s="120" t="s">
        <v>116</v>
      </c>
      <c r="E69" s="65">
        <v>10</v>
      </c>
      <c r="F69" s="126">
        <v>2</v>
      </c>
      <c r="G69" s="127">
        <f>($C$68+E69+E69+4)*PI()+($C$68+E69+E69+8)*PI()</f>
        <v>542.2388920095982</v>
      </c>
      <c r="H69" s="72">
        <f t="shared" si="9"/>
        <v>18.442055978203403</v>
      </c>
      <c r="I69" s="156">
        <f t="shared" ref="I69:I76" si="12">($C$68+(E69*2)+(F69*2*2))*PI()</f>
        <v>277.40263131197872</v>
      </c>
      <c r="J69" s="157">
        <f t="shared" si="3"/>
        <v>9.0121711830065312</v>
      </c>
      <c r="K69" s="173">
        <v>73</v>
      </c>
      <c r="L69" s="173">
        <f t="shared" si="4"/>
        <v>8.1001568343097787</v>
      </c>
      <c r="M69" s="66">
        <f t="shared" si="10"/>
        <v>0</v>
      </c>
      <c r="N69" s="171">
        <f t="shared" si="1"/>
        <v>8.1001568343097787</v>
      </c>
    </row>
    <row r="70" spans="1:14" x14ac:dyDescent="0.2">
      <c r="A70" s="60"/>
      <c r="B70" s="12"/>
      <c r="C70" s="237"/>
      <c r="D70" s="120" t="s">
        <v>116</v>
      </c>
      <c r="E70" s="65">
        <v>13</v>
      </c>
      <c r="F70" s="126">
        <v>2</v>
      </c>
      <c r="G70" s="127">
        <f>($C$68+E70+E70+4)*PI()+($C$68+E70+E70+8)*PI()</f>
        <v>579.93800385267582</v>
      </c>
      <c r="H70" s="72">
        <f t="shared" si="9"/>
        <v>17.243222436825064</v>
      </c>
      <c r="I70" s="156">
        <f t="shared" si="12"/>
        <v>296.25218723351747</v>
      </c>
      <c r="J70" s="157">
        <f t="shared" si="3"/>
        <v>8.4387562615002842</v>
      </c>
      <c r="K70" s="173">
        <v>73</v>
      </c>
      <c r="L70" s="173">
        <f t="shared" si="4"/>
        <v>8.6505638672187093</v>
      </c>
      <c r="M70" s="66">
        <f t="shared" si="10"/>
        <v>0</v>
      </c>
      <c r="N70" s="171">
        <f t="shared" si="1"/>
        <v>8.6505638672187093</v>
      </c>
    </row>
    <row r="71" spans="1:14" x14ac:dyDescent="0.2">
      <c r="A71" s="60"/>
      <c r="B71" s="12"/>
      <c r="C71" s="237"/>
      <c r="D71" s="120" t="s">
        <v>116</v>
      </c>
      <c r="E71" s="65">
        <v>16</v>
      </c>
      <c r="F71" s="126">
        <v>2</v>
      </c>
      <c r="G71" s="127">
        <f>($C$68+E71+E71+4)*PI()+($C$68+E71+E71+8)*PI()</f>
        <v>617.63711569575321</v>
      </c>
      <c r="H71" s="72">
        <f t="shared" si="9"/>
        <v>16.190736835391188</v>
      </c>
      <c r="I71" s="156">
        <f t="shared" si="12"/>
        <v>315.10174315505623</v>
      </c>
      <c r="J71" s="157">
        <f t="shared" si="3"/>
        <v>7.9339453186388509</v>
      </c>
      <c r="K71" s="173">
        <v>73</v>
      </c>
      <c r="L71" s="173">
        <f t="shared" si="4"/>
        <v>9.2009709001276416</v>
      </c>
      <c r="M71" s="66">
        <f t="shared" si="10"/>
        <v>0</v>
      </c>
      <c r="N71" s="171">
        <f t="shared" si="1"/>
        <v>9.2009709001276416</v>
      </c>
    </row>
    <row r="72" spans="1:14" x14ac:dyDescent="0.2">
      <c r="A72" s="60"/>
      <c r="B72" s="12"/>
      <c r="C72" s="237"/>
      <c r="D72" s="120" t="s">
        <v>116</v>
      </c>
      <c r="E72" s="65">
        <v>19</v>
      </c>
      <c r="F72" s="126">
        <v>2</v>
      </c>
      <c r="G72" s="127">
        <f>($C$68+E72+E72+4)*PI()+($C$68+E72+E72+8)*PI()</f>
        <v>655.33622753883083</v>
      </c>
      <c r="H72" s="72">
        <f t="shared" si="9"/>
        <v>15.259342578321702</v>
      </c>
      <c r="I72" s="156">
        <f t="shared" si="12"/>
        <v>333.95129907659498</v>
      </c>
      <c r="J72" s="157">
        <f t="shared" si="3"/>
        <v>7.4861215000891512</v>
      </c>
      <c r="K72" s="173">
        <v>73</v>
      </c>
      <c r="L72" s="173">
        <f t="shared" si="4"/>
        <v>9.751377933036574</v>
      </c>
      <c r="M72" s="66">
        <f t="shared" si="10"/>
        <v>0</v>
      </c>
      <c r="N72" s="171">
        <f t="shared" si="1"/>
        <v>9.751377933036574</v>
      </c>
    </row>
    <row r="73" spans="1:14" x14ac:dyDescent="0.2">
      <c r="A73" s="60"/>
      <c r="B73" s="12"/>
      <c r="C73" s="237"/>
      <c r="D73" s="120" t="s">
        <v>116</v>
      </c>
      <c r="E73" s="65">
        <v>25</v>
      </c>
      <c r="F73" s="126">
        <v>3</v>
      </c>
      <c r="G73" s="127">
        <f>($C$68+E73+E73+4)*PI()+($C$68+E73+E73+8)*PI()+($C$68+E73+E73+12)*PI()</f>
        <v>1114.9512327590176</v>
      </c>
      <c r="H73" s="72">
        <f t="shared" si="9"/>
        <v>8.9690021466269574</v>
      </c>
      <c r="I73" s="156">
        <f t="shared" si="12"/>
        <v>384.21678153403167</v>
      </c>
      <c r="J73" s="157">
        <f t="shared" si="3"/>
        <v>6.5067433806989108</v>
      </c>
      <c r="K73" s="173">
        <v>73</v>
      </c>
      <c r="L73" s="173">
        <f t="shared" si="4"/>
        <v>11.219130020793724</v>
      </c>
      <c r="M73" s="66">
        <f t="shared" si="10"/>
        <v>0</v>
      </c>
      <c r="N73" s="171">
        <f t="shared" si="1"/>
        <v>11.219130020793724</v>
      </c>
    </row>
    <row r="74" spans="1:14" x14ac:dyDescent="0.2">
      <c r="A74" s="60"/>
      <c r="B74" s="12"/>
      <c r="C74" s="237"/>
      <c r="D74" s="120" t="s">
        <v>116</v>
      </c>
      <c r="E74" s="65">
        <v>32</v>
      </c>
      <c r="F74" s="126">
        <v>3</v>
      </c>
      <c r="G74" s="127">
        <f>($C$68+E74+E74+4)*PI()+($C$68+E74+E74+8)*PI()+($C$68+E74+E74+12)*PI()</f>
        <v>1246.8981242097891</v>
      </c>
      <c r="H74" s="72">
        <f t="shared" si="9"/>
        <v>8.0199013903701335</v>
      </c>
      <c r="I74" s="156">
        <f t="shared" si="12"/>
        <v>428.19907868428885</v>
      </c>
      <c r="J74" s="157">
        <f t="shared" si="3"/>
        <v>5.8384058360930053</v>
      </c>
      <c r="K74" s="173">
        <v>73</v>
      </c>
      <c r="L74" s="173">
        <f t="shared" si="4"/>
        <v>12.503413097581234</v>
      </c>
      <c r="M74" s="66">
        <f t="shared" si="10"/>
        <v>0</v>
      </c>
      <c r="N74" s="171">
        <f t="shared" si="1"/>
        <v>12.503413097581234</v>
      </c>
    </row>
    <row r="75" spans="1:14" x14ac:dyDescent="0.2">
      <c r="A75" s="60"/>
      <c r="B75" s="12"/>
      <c r="C75" s="237"/>
      <c r="D75" s="120" t="s">
        <v>116</v>
      </c>
      <c r="E75" s="65">
        <v>40</v>
      </c>
      <c r="F75" s="126">
        <v>4</v>
      </c>
      <c r="G75" s="127">
        <f>($C$68+E75+E75+4)*PI()+($C$68+E75+E75+8)*PI()+($C$68+E75+E75+12)*PI()+($C$68+E75+E75+16)*PI()</f>
        <v>1888.7255033381837</v>
      </c>
      <c r="H75" s="72">
        <f t="shared" si="9"/>
        <v>5.2945756184928587</v>
      </c>
      <c r="I75" s="156">
        <f t="shared" si="12"/>
        <v>491.03093175608473</v>
      </c>
      <c r="J75" s="157">
        <f t="shared" si="3"/>
        <v>5.0913289536754744</v>
      </c>
      <c r="K75" s="173">
        <v>73</v>
      </c>
      <c r="L75" s="173">
        <f t="shared" si="4"/>
        <v>14.338103207277673</v>
      </c>
      <c r="M75" s="66">
        <f t="shared" si="10"/>
        <v>0</v>
      </c>
      <c r="N75" s="171">
        <f t="shared" si="1"/>
        <v>14.338103207277673</v>
      </c>
    </row>
    <row r="76" spans="1:14" x14ac:dyDescent="0.2">
      <c r="A76" s="60"/>
      <c r="B76" s="12"/>
      <c r="C76" s="237"/>
      <c r="D76" s="120" t="s">
        <v>116</v>
      </c>
      <c r="E76" s="65">
        <v>50</v>
      </c>
      <c r="F76" s="126">
        <v>4</v>
      </c>
      <c r="G76" s="127">
        <f>($C$68+E76+E76+4)*PI()+($C$68+E76+E76+8)*PI()+($C$68+E76+E76+12)*PI()+($C$68+E76+E76+16)*PI()</f>
        <v>2140.0529156253674</v>
      </c>
      <c r="H76" s="72">
        <f t="shared" si="9"/>
        <v>4.6727816527274024</v>
      </c>
      <c r="I76" s="156">
        <f t="shared" si="12"/>
        <v>553.86278482788055</v>
      </c>
      <c r="J76" s="157">
        <f t="shared" si="3"/>
        <v>4.5137533491745696</v>
      </c>
      <c r="K76" s="173">
        <v>73</v>
      </c>
      <c r="L76" s="173">
        <f t="shared" si="4"/>
        <v>16.172793316974115</v>
      </c>
      <c r="M76" s="66">
        <f t="shared" si="10"/>
        <v>0</v>
      </c>
      <c r="N76" s="171">
        <f t="shared" si="1"/>
        <v>16.172793316974115</v>
      </c>
    </row>
    <row r="77" spans="1:14" x14ac:dyDescent="0.2">
      <c r="A77" s="60"/>
      <c r="B77" s="12"/>
      <c r="C77" s="237">
        <v>76.099999999999994</v>
      </c>
      <c r="D77" s="120" t="s">
        <v>116</v>
      </c>
      <c r="E77" s="65">
        <v>9</v>
      </c>
      <c r="F77" s="126">
        <v>1</v>
      </c>
      <c r="G77" s="127">
        <f>($C$77+E77+E77+4)*PI()</f>
        <v>308.19023931715867</v>
      </c>
      <c r="H77" s="72">
        <f t="shared" si="9"/>
        <v>32.447490946359913</v>
      </c>
      <c r="I77" s="156">
        <f>($C$77+(E77*2)+(F77*2*2))*PI()</f>
        <v>308.19023931715867</v>
      </c>
      <c r="J77" s="157">
        <f t="shared" si="3"/>
        <v>8.1118727365899783</v>
      </c>
      <c r="K77" s="173">
        <v>73</v>
      </c>
      <c r="L77" s="173">
        <f t="shared" si="4"/>
        <v>8.9991549880610329</v>
      </c>
      <c r="M77" s="66">
        <f t="shared" si="10"/>
        <v>0</v>
      </c>
      <c r="N77" s="171">
        <f t="shared" si="1"/>
        <v>8.9991549880610329</v>
      </c>
    </row>
    <row r="78" spans="1:14" x14ac:dyDescent="0.2">
      <c r="A78" s="60"/>
      <c r="B78" s="12"/>
      <c r="C78" s="237"/>
      <c r="D78" s="120" t="s">
        <v>116</v>
      </c>
      <c r="E78" s="65">
        <v>10</v>
      </c>
      <c r="F78" s="126">
        <v>2</v>
      </c>
      <c r="G78" s="127">
        <f>($C$77+E78+E78+4)*PI()+($C$77+E78+E78+8)*PI()</f>
        <v>641.51321986303572</v>
      </c>
      <c r="H78" s="72">
        <f t="shared" si="9"/>
        <v>15.588143299891808</v>
      </c>
      <c r="I78" s="156">
        <f t="shared" ref="I78:I85" si="13">($C$77+(E78*2)+(F78*2*2))*PI()</f>
        <v>327.03979523869742</v>
      </c>
      <c r="J78" s="157">
        <f t="shared" si="3"/>
        <v>7.6443296393801807</v>
      </c>
      <c r="K78" s="173">
        <v>73</v>
      </c>
      <c r="L78" s="173">
        <f t="shared" si="4"/>
        <v>9.5495620209699652</v>
      </c>
      <c r="M78" s="66">
        <f t="shared" si="10"/>
        <v>0</v>
      </c>
      <c r="N78" s="171">
        <f t="shared" si="1"/>
        <v>9.5495620209699652</v>
      </c>
    </row>
    <row r="79" spans="1:14" x14ac:dyDescent="0.2">
      <c r="A79" s="60"/>
      <c r="B79" s="12"/>
      <c r="C79" s="237"/>
      <c r="D79" s="120" t="s">
        <v>116</v>
      </c>
      <c r="E79" s="65">
        <v>13</v>
      </c>
      <c r="F79" s="126">
        <v>2</v>
      </c>
      <c r="G79" s="127">
        <f>($C$77+E79+E79+4)*PI()+($C$77+E79+E79+8)*PI()</f>
        <v>679.21233170611322</v>
      </c>
      <c r="H79" s="72">
        <f t="shared" si="9"/>
        <v>14.722936456234537</v>
      </c>
      <c r="I79" s="156">
        <f t="shared" si="13"/>
        <v>345.88935116023623</v>
      </c>
      <c r="J79" s="157">
        <f t="shared" si="3"/>
        <v>7.2277449178880717</v>
      </c>
      <c r="K79" s="173">
        <v>73</v>
      </c>
      <c r="L79" s="173">
        <f t="shared" si="4"/>
        <v>10.099969053878898</v>
      </c>
      <c r="M79" s="66">
        <f t="shared" si="10"/>
        <v>0</v>
      </c>
      <c r="N79" s="171">
        <f t="shared" si="1"/>
        <v>10.099969053878898</v>
      </c>
    </row>
    <row r="80" spans="1:14" x14ac:dyDescent="0.2">
      <c r="A80" s="60"/>
      <c r="B80" s="12"/>
      <c r="C80" s="237"/>
      <c r="D80" s="120" t="s">
        <v>116</v>
      </c>
      <c r="E80" s="65">
        <v>16</v>
      </c>
      <c r="F80" s="126">
        <v>2</v>
      </c>
      <c r="G80" s="127">
        <f>($C$77+E80+E80+4)*PI()+($C$77+E80+E80+8)*PI()</f>
        <v>716.91144354919084</v>
      </c>
      <c r="H80" s="72">
        <f t="shared" si="9"/>
        <v>13.948724197361553</v>
      </c>
      <c r="I80" s="156">
        <f t="shared" si="13"/>
        <v>364.73890708177498</v>
      </c>
      <c r="J80" s="157">
        <f t="shared" si="3"/>
        <v>6.8542180487465698</v>
      </c>
      <c r="K80" s="173">
        <v>73</v>
      </c>
      <c r="L80" s="173">
        <f t="shared" si="4"/>
        <v>10.650376086787828</v>
      </c>
      <c r="M80" s="66">
        <f t="shared" si="10"/>
        <v>0</v>
      </c>
      <c r="N80" s="171">
        <f t="shared" si="1"/>
        <v>10.650376086787828</v>
      </c>
    </row>
    <row r="81" spans="1:14" x14ac:dyDescent="0.2">
      <c r="A81" s="60"/>
      <c r="B81" s="12"/>
      <c r="C81" s="237"/>
      <c r="D81" s="120" t="s">
        <v>116</v>
      </c>
      <c r="E81" s="65">
        <v>19</v>
      </c>
      <c r="F81" s="126">
        <v>2</v>
      </c>
      <c r="G81" s="127">
        <f>($C$77+E81+E81+4)*PI()+($C$77+E81+E81+8)*PI()</f>
        <v>754.61055539226822</v>
      </c>
      <c r="H81" s="72">
        <f t="shared" si="9"/>
        <v>13.251868700407607</v>
      </c>
      <c r="I81" s="156">
        <f t="shared" si="13"/>
        <v>383.58846300331373</v>
      </c>
      <c r="J81" s="157">
        <f t="shared" si="3"/>
        <v>6.5174014370145512</v>
      </c>
      <c r="K81" s="173">
        <v>73</v>
      </c>
      <c r="L81" s="173">
        <f t="shared" si="4"/>
        <v>11.20078311969676</v>
      </c>
      <c r="M81" s="66">
        <f t="shared" si="10"/>
        <v>0</v>
      </c>
      <c r="N81" s="171">
        <f t="shared" si="1"/>
        <v>11.20078311969676</v>
      </c>
    </row>
    <row r="82" spans="1:14" x14ac:dyDescent="0.2">
      <c r="A82" s="60"/>
      <c r="B82" s="12"/>
      <c r="C82" s="237"/>
      <c r="D82" s="120" t="s">
        <v>116</v>
      </c>
      <c r="E82" s="65">
        <v>25</v>
      </c>
      <c r="F82" s="126">
        <v>3</v>
      </c>
      <c r="G82" s="127">
        <f>($C$77+E82+E82+4)*PI()+($C$77+E82+E82+8)*PI()+($C$77+E82+E82+12)*PI()</f>
        <v>1263.8627245391735</v>
      </c>
      <c r="H82" s="72">
        <f t="shared" si="9"/>
        <v>7.9122517072779202</v>
      </c>
      <c r="I82" s="156">
        <f t="shared" si="13"/>
        <v>433.85394546075042</v>
      </c>
      <c r="J82" s="157">
        <f t="shared" si="3"/>
        <v>5.762307859952764</v>
      </c>
      <c r="K82" s="173">
        <v>73</v>
      </c>
      <c r="L82" s="173">
        <f t="shared" si="4"/>
        <v>12.668535207453912</v>
      </c>
      <c r="M82" s="66">
        <f t="shared" si="10"/>
        <v>0</v>
      </c>
      <c r="N82" s="171">
        <f t="shared" si="1"/>
        <v>12.668535207453912</v>
      </c>
    </row>
    <row r="83" spans="1:14" x14ac:dyDescent="0.2">
      <c r="A83" s="60"/>
      <c r="B83" s="12"/>
      <c r="C83" s="237"/>
      <c r="D83" s="120" t="s">
        <v>116</v>
      </c>
      <c r="E83" s="65">
        <v>32</v>
      </c>
      <c r="F83" s="126">
        <v>3</v>
      </c>
      <c r="G83" s="127">
        <f>($C$77+E83+E83+4)*PI()+($C$77+E83+E83+8)*PI()+($C$77+E83+E83+12)*PI()</f>
        <v>1395.8096159899451</v>
      </c>
      <c r="H83" s="72">
        <f t="shared" si="9"/>
        <v>7.1643008369072856</v>
      </c>
      <c r="I83" s="156">
        <f t="shared" si="13"/>
        <v>477.83624261100749</v>
      </c>
      <c r="J83" s="157">
        <f t="shared" si="3"/>
        <v>5.231917918865725</v>
      </c>
      <c r="K83" s="173">
        <v>73</v>
      </c>
      <c r="L83" s="173">
        <f t="shared" si="4"/>
        <v>13.952818284241419</v>
      </c>
      <c r="M83" s="66">
        <f t="shared" si="10"/>
        <v>0</v>
      </c>
      <c r="N83" s="171">
        <f t="shared" si="1"/>
        <v>13.952818284241419</v>
      </c>
    </row>
    <row r="84" spans="1:14" x14ac:dyDescent="0.2">
      <c r="A84" s="60"/>
      <c r="B84" s="12"/>
      <c r="C84" s="237"/>
      <c r="D84" s="120" t="s">
        <v>116</v>
      </c>
      <c r="E84" s="65">
        <v>40</v>
      </c>
      <c r="F84" s="126">
        <v>4</v>
      </c>
      <c r="G84" s="127">
        <f>($C$77+E84+E84+4)*PI()+($C$77+E84+E84+8)*PI()+($C$77+E84+E84+12)*PI()+($C$77+E84+E84+16)*PI()</f>
        <v>2087.2741590450587</v>
      </c>
      <c r="H84" s="72">
        <f t="shared" si="9"/>
        <v>4.7909374801895046</v>
      </c>
      <c r="I84" s="156">
        <f t="shared" si="13"/>
        <v>540.66809568280337</v>
      </c>
      <c r="J84" s="157">
        <f t="shared" si="3"/>
        <v>4.6239088637970758</v>
      </c>
      <c r="K84" s="173">
        <v>73</v>
      </c>
      <c r="L84" s="173">
        <f t="shared" si="4"/>
        <v>15.787508393937859</v>
      </c>
      <c r="M84" s="66">
        <f t="shared" si="10"/>
        <v>0</v>
      </c>
      <c r="N84" s="171">
        <f t="shared" si="1"/>
        <v>15.787508393937859</v>
      </c>
    </row>
    <row r="85" spans="1:14" x14ac:dyDescent="0.2">
      <c r="A85" s="60"/>
      <c r="B85" s="12"/>
      <c r="C85" s="237"/>
      <c r="D85" s="120" t="s">
        <v>116</v>
      </c>
      <c r="E85" s="65">
        <v>50</v>
      </c>
      <c r="F85" s="126">
        <v>4</v>
      </c>
      <c r="G85" s="127">
        <f>($C$77+E85+E85+4)*PI()+($C$77+E85+E85+8)*PI()+($C$77+E85+E85+12)*PI()+($C$77+E85+E85+16)*PI()</f>
        <v>2338.6015713322422</v>
      </c>
      <c r="H85" s="72">
        <f t="shared" si="9"/>
        <v>4.2760597284227657</v>
      </c>
      <c r="I85" s="156">
        <f t="shared" si="13"/>
        <v>603.49994875459925</v>
      </c>
      <c r="J85" s="157">
        <f t="shared" si="3"/>
        <v>4.1425024230061256</v>
      </c>
      <c r="K85" s="173">
        <v>73</v>
      </c>
      <c r="L85" s="173">
        <f t="shared" si="4"/>
        <v>17.622198503634298</v>
      </c>
      <c r="M85" s="66">
        <f t="shared" si="10"/>
        <v>0</v>
      </c>
      <c r="N85" s="171">
        <f t="shared" si="1"/>
        <v>17.622198503634298</v>
      </c>
    </row>
    <row r="86" spans="1:14" x14ac:dyDescent="0.2">
      <c r="A86" s="60"/>
      <c r="B86" s="12"/>
      <c r="C86" s="237">
        <v>88.9</v>
      </c>
      <c r="D86" s="120" t="s">
        <v>116</v>
      </c>
      <c r="E86" s="65">
        <v>9</v>
      </c>
      <c r="F86" s="126">
        <v>1</v>
      </c>
      <c r="G86" s="127">
        <f>($C$86+E86+E86+4)*PI()</f>
        <v>348.40262528310808</v>
      </c>
      <c r="H86" s="72">
        <f t="shared" si="9"/>
        <v>28.702424362830538</v>
      </c>
      <c r="I86" s="156">
        <f>($C$86+(E86*2)+(F86*2*2))*PI()</f>
        <v>348.40262528310808</v>
      </c>
      <c r="J86" s="157">
        <f t="shared" si="3"/>
        <v>7.1756060907076344</v>
      </c>
      <c r="K86" s="173">
        <v>73</v>
      </c>
      <c r="L86" s="173">
        <f t="shared" si="4"/>
        <v>10.173356658266757</v>
      </c>
      <c r="M86" s="66">
        <f t="shared" si="10"/>
        <v>0</v>
      </c>
      <c r="N86" s="171">
        <f t="shared" si="1"/>
        <v>10.173356658266757</v>
      </c>
    </row>
    <row r="87" spans="1:14" x14ac:dyDescent="0.2">
      <c r="A87" s="60"/>
      <c r="B87" s="12"/>
      <c r="C87" s="237"/>
      <c r="D87" s="120" t="s">
        <v>116</v>
      </c>
      <c r="E87" s="65">
        <v>10</v>
      </c>
      <c r="F87" s="126">
        <v>2</v>
      </c>
      <c r="G87" s="127">
        <f>($C$86+E87+E87+4)*PI()+($C$86+E87+E87+8)*PI()</f>
        <v>721.93799179493453</v>
      </c>
      <c r="H87" s="72">
        <f t="shared" ref="H87:H118" si="14">10000/G87</f>
        <v>13.851605142897766</v>
      </c>
      <c r="I87" s="156">
        <f t="shared" ref="I87:I94" si="15">($C$86+(E87*2)+(F87*2*2))*PI()</f>
        <v>367.25218120464683</v>
      </c>
      <c r="J87" s="157">
        <f t="shared" si="3"/>
        <v>6.8073115094908188</v>
      </c>
      <c r="K87" s="173">
        <v>73</v>
      </c>
      <c r="L87" s="173">
        <f t="shared" si="4"/>
        <v>10.723763691175687</v>
      </c>
      <c r="M87" s="66">
        <f t="shared" si="10"/>
        <v>0</v>
      </c>
      <c r="N87" s="171">
        <f t="shared" ref="N87:N118" si="16">L87*(1-M87)</f>
        <v>10.723763691175687</v>
      </c>
    </row>
    <row r="88" spans="1:14" x14ac:dyDescent="0.2">
      <c r="A88" s="60"/>
      <c r="B88" s="12"/>
      <c r="C88" s="237"/>
      <c r="D88" s="120" t="s">
        <v>116</v>
      </c>
      <c r="E88" s="65">
        <v>13</v>
      </c>
      <c r="F88" s="126">
        <v>2</v>
      </c>
      <c r="G88" s="127">
        <f>($C$86+E88+E88+4)*PI()+($C$86+E88+E88+8)*PI()</f>
        <v>759.63710363801192</v>
      </c>
      <c r="H88" s="72">
        <f t="shared" si="14"/>
        <v>13.164180570049243</v>
      </c>
      <c r="I88" s="156">
        <f t="shared" si="15"/>
        <v>386.10173712618558</v>
      </c>
      <c r="J88" s="157">
        <f t="shared" ref="J88:J140" si="17">2500/I88</f>
        <v>6.4749773430388666</v>
      </c>
      <c r="K88" s="173">
        <v>73</v>
      </c>
      <c r="L88" s="173">
        <f t="shared" ref="L88:L140" si="18">K88/J88</f>
        <v>11.27417072408462</v>
      </c>
      <c r="M88" s="66">
        <f t="shared" ref="M88:M119" si="19">$M$23</f>
        <v>0</v>
      </c>
      <c r="N88" s="171">
        <f t="shared" si="16"/>
        <v>11.27417072408462</v>
      </c>
    </row>
    <row r="89" spans="1:14" x14ac:dyDescent="0.2">
      <c r="A89" s="60"/>
      <c r="B89" s="12"/>
      <c r="C89" s="237"/>
      <c r="D89" s="120" t="s">
        <v>116</v>
      </c>
      <c r="E89" s="65">
        <v>16</v>
      </c>
      <c r="F89" s="126">
        <v>2</v>
      </c>
      <c r="G89" s="127">
        <f>($C$86+E89+E89+4)*PI()+($C$86+E89+E89+8)*PI()</f>
        <v>797.33621548108954</v>
      </c>
      <c r="H89" s="72">
        <f t="shared" si="14"/>
        <v>12.541760684940531</v>
      </c>
      <c r="I89" s="156">
        <f t="shared" si="15"/>
        <v>404.95129304772433</v>
      </c>
      <c r="J89" s="157">
        <f t="shared" si="17"/>
        <v>6.1735819663264291</v>
      </c>
      <c r="K89" s="173">
        <v>73</v>
      </c>
      <c r="L89" s="173">
        <f t="shared" si="18"/>
        <v>11.82457775699355</v>
      </c>
      <c r="M89" s="66">
        <f t="shared" si="19"/>
        <v>0</v>
      </c>
      <c r="N89" s="171">
        <f t="shared" si="16"/>
        <v>11.82457775699355</v>
      </c>
    </row>
    <row r="90" spans="1:14" x14ac:dyDescent="0.2">
      <c r="A90" s="60"/>
      <c r="B90" s="12"/>
      <c r="C90" s="237"/>
      <c r="D90" s="120" t="s">
        <v>116</v>
      </c>
      <c r="E90" s="65">
        <v>19</v>
      </c>
      <c r="F90" s="126">
        <v>2</v>
      </c>
      <c r="G90" s="127">
        <f>($C$86+E90+E90+4)*PI()+($C$86+E90+E90+8)*PI()</f>
        <v>835.03532732416704</v>
      </c>
      <c r="H90" s="72">
        <f t="shared" si="14"/>
        <v>11.975541240925157</v>
      </c>
      <c r="I90" s="156">
        <f t="shared" si="15"/>
        <v>423.80084896926309</v>
      </c>
      <c r="J90" s="157">
        <f t="shared" si="17"/>
        <v>5.8989971494401532</v>
      </c>
      <c r="K90" s="173">
        <v>73</v>
      </c>
      <c r="L90" s="173">
        <f t="shared" si="18"/>
        <v>12.374984789902483</v>
      </c>
      <c r="M90" s="66">
        <f t="shared" si="19"/>
        <v>0</v>
      </c>
      <c r="N90" s="171">
        <f t="shared" si="16"/>
        <v>12.374984789902483</v>
      </c>
    </row>
    <row r="91" spans="1:14" x14ac:dyDescent="0.2">
      <c r="A91" s="60"/>
      <c r="B91" s="12"/>
      <c r="C91" s="237"/>
      <c r="D91" s="120" t="s">
        <v>116</v>
      </c>
      <c r="E91" s="65">
        <v>25</v>
      </c>
      <c r="F91" s="126">
        <v>3</v>
      </c>
      <c r="G91" s="127">
        <f>($C$86+E91+E91+4)*PI()+($C$86+E91+E91+8)*PI()+($C$86+E91+E91+12)*PI()</f>
        <v>1384.4998824370218</v>
      </c>
      <c r="H91" s="72">
        <f t="shared" si="14"/>
        <v>7.2228247375491419</v>
      </c>
      <c r="I91" s="156">
        <f t="shared" si="15"/>
        <v>474.06633142669978</v>
      </c>
      <c r="J91" s="157">
        <f t="shared" si="17"/>
        <v>5.2735236279620725</v>
      </c>
      <c r="K91" s="173">
        <v>73</v>
      </c>
      <c r="L91" s="173">
        <f t="shared" si="18"/>
        <v>13.842736877659632</v>
      </c>
      <c r="M91" s="66">
        <f t="shared" si="19"/>
        <v>0</v>
      </c>
      <c r="N91" s="171">
        <f t="shared" si="16"/>
        <v>13.842736877659632</v>
      </c>
    </row>
    <row r="92" spans="1:14" x14ac:dyDescent="0.2">
      <c r="A92" s="60"/>
      <c r="B92" s="12"/>
      <c r="C92" s="237"/>
      <c r="D92" s="120" t="s">
        <v>116</v>
      </c>
      <c r="E92" s="65">
        <v>32</v>
      </c>
      <c r="F92" s="126">
        <v>3</v>
      </c>
      <c r="G92" s="127">
        <f>($C$86+E92+E92+4)*PI()+($C$86+E92+E92+8)*PI()+($C$86+E92+E92+12)*PI()</f>
        <v>1516.4467738877934</v>
      </c>
      <c r="H92" s="72">
        <f t="shared" si="14"/>
        <v>6.5943626721315649</v>
      </c>
      <c r="I92" s="156">
        <f t="shared" si="15"/>
        <v>518.04862857695696</v>
      </c>
      <c r="J92" s="157">
        <f t="shared" si="17"/>
        <v>4.8258017917494032</v>
      </c>
      <c r="K92" s="173">
        <v>73</v>
      </c>
      <c r="L92" s="173">
        <f t="shared" si="18"/>
        <v>15.127019954447144</v>
      </c>
      <c r="M92" s="66">
        <f t="shared" si="19"/>
        <v>0</v>
      </c>
      <c r="N92" s="171">
        <f t="shared" si="16"/>
        <v>15.127019954447144</v>
      </c>
    </row>
    <row r="93" spans="1:14" x14ac:dyDescent="0.2">
      <c r="A93" s="60"/>
      <c r="B93" s="12"/>
      <c r="C93" s="237"/>
      <c r="D93" s="120" t="s">
        <v>116</v>
      </c>
      <c r="E93" s="65">
        <v>40</v>
      </c>
      <c r="F93" s="126">
        <v>4</v>
      </c>
      <c r="G93" s="127">
        <f>($C$86+E93+E93+4)*PI()+($C$86+E93+E93+8)*PI()+($C$86+E93+E93+12)*PI()+($C$86+E93+E93+16)*PI()</f>
        <v>2248.1237029088561</v>
      </c>
      <c r="H93" s="72">
        <f t="shared" si="14"/>
        <v>4.4481538035744919</v>
      </c>
      <c r="I93" s="156">
        <f t="shared" si="15"/>
        <v>580.88048164875272</v>
      </c>
      <c r="J93" s="157">
        <f t="shared" si="17"/>
        <v>4.3038113329338925</v>
      </c>
      <c r="K93" s="173">
        <v>73</v>
      </c>
      <c r="L93" s="173">
        <f t="shared" si="18"/>
        <v>16.961710064143581</v>
      </c>
      <c r="M93" s="66">
        <f t="shared" si="19"/>
        <v>0</v>
      </c>
      <c r="N93" s="171">
        <f t="shared" si="16"/>
        <v>16.961710064143581</v>
      </c>
    </row>
    <row r="94" spans="1:14" x14ac:dyDescent="0.2">
      <c r="A94" s="60"/>
      <c r="B94" s="12"/>
      <c r="C94" s="237"/>
      <c r="D94" s="120" t="s">
        <v>116</v>
      </c>
      <c r="E94" s="65">
        <v>50</v>
      </c>
      <c r="F94" s="126">
        <v>4</v>
      </c>
      <c r="G94" s="127">
        <f>($C$86+E94+E94+4)*PI()+($C$86+E94+E94+8)*PI()+($C$86+E94+E94+12)*PI()+($C$86+E94+E94+16)*PI()</f>
        <v>2499.4511151960396</v>
      </c>
      <c r="H94" s="72">
        <f t="shared" si="14"/>
        <v>4.0008784085443772</v>
      </c>
      <c r="I94" s="156">
        <f t="shared" si="15"/>
        <v>643.7123347205486</v>
      </c>
      <c r="J94" s="157">
        <f t="shared" si="17"/>
        <v>3.8837223790115996</v>
      </c>
      <c r="K94" s="173">
        <v>73</v>
      </c>
      <c r="L94" s="173">
        <f t="shared" si="18"/>
        <v>18.79640017384002</v>
      </c>
      <c r="M94" s="66">
        <f t="shared" si="19"/>
        <v>0</v>
      </c>
      <c r="N94" s="171">
        <f t="shared" si="16"/>
        <v>18.79640017384002</v>
      </c>
    </row>
    <row r="95" spans="1:14" x14ac:dyDescent="0.2">
      <c r="A95" s="60"/>
      <c r="B95" s="12"/>
      <c r="C95" s="237">
        <v>108</v>
      </c>
      <c r="D95" s="120" t="s">
        <v>116</v>
      </c>
      <c r="E95" s="65">
        <v>9</v>
      </c>
      <c r="F95" s="126">
        <v>1</v>
      </c>
      <c r="G95" s="127">
        <f>($C$95+E95+E95+4)*PI()</f>
        <v>408.40704496667308</v>
      </c>
      <c r="H95" s="72">
        <f t="shared" si="14"/>
        <v>24.485375860291594</v>
      </c>
      <c r="I95" s="156">
        <f>($C$95+(E95*2)+(F95*2*2))*PI()</f>
        <v>408.40704496667308</v>
      </c>
      <c r="J95" s="157">
        <f t="shared" si="17"/>
        <v>6.1213439650728985</v>
      </c>
      <c r="K95" s="173">
        <v>73</v>
      </c>
      <c r="L95" s="173">
        <f t="shared" si="18"/>
        <v>11.925485713026854</v>
      </c>
      <c r="M95" s="66">
        <f t="shared" si="19"/>
        <v>0</v>
      </c>
      <c r="N95" s="171">
        <f t="shared" si="16"/>
        <v>11.925485713026854</v>
      </c>
    </row>
    <row r="96" spans="1:14" x14ac:dyDescent="0.2">
      <c r="A96" s="60"/>
      <c r="B96" s="12"/>
      <c r="C96" s="237"/>
      <c r="D96" s="120" t="s">
        <v>116</v>
      </c>
      <c r="E96" s="65">
        <v>10</v>
      </c>
      <c r="F96" s="126">
        <v>2</v>
      </c>
      <c r="G96" s="127">
        <f>($C$95+E96+E96+4)*PI()+($C$95+E96+E96+8)*PI()</f>
        <v>841.94683116206465</v>
      </c>
      <c r="H96" s="72">
        <f t="shared" si="14"/>
        <v>11.877234559096665</v>
      </c>
      <c r="I96" s="156">
        <f t="shared" ref="I96:I103" si="20">($C$95+(E96*2)+(F96*2*2))*PI()</f>
        <v>427.25660088821189</v>
      </c>
      <c r="J96" s="157">
        <f t="shared" si="17"/>
        <v>5.8512846724961518</v>
      </c>
      <c r="K96" s="173">
        <v>73</v>
      </c>
      <c r="L96" s="173">
        <f t="shared" si="18"/>
        <v>12.475892745935788</v>
      </c>
      <c r="M96" s="66">
        <f t="shared" si="19"/>
        <v>0</v>
      </c>
      <c r="N96" s="171">
        <f t="shared" si="16"/>
        <v>12.475892745935788</v>
      </c>
    </row>
    <row r="97" spans="1:14" x14ac:dyDescent="0.2">
      <c r="A97" s="60"/>
      <c r="B97" s="12"/>
      <c r="C97" s="237"/>
      <c r="D97" s="120" t="s">
        <v>116</v>
      </c>
      <c r="E97" s="65">
        <v>13</v>
      </c>
      <c r="F97" s="126">
        <v>2</v>
      </c>
      <c r="G97" s="127">
        <f>($C$95+E97+E97+4)*PI()+($C$95+E97+E97+8)*PI()</f>
        <v>879.64594300514204</v>
      </c>
      <c r="H97" s="72">
        <f t="shared" si="14"/>
        <v>11.368210220849667</v>
      </c>
      <c r="I97" s="156">
        <f t="shared" si="20"/>
        <v>446.10615680975064</v>
      </c>
      <c r="J97" s="157">
        <f t="shared" si="17"/>
        <v>5.6040472919681452</v>
      </c>
      <c r="K97" s="173">
        <v>73</v>
      </c>
      <c r="L97" s="173">
        <f t="shared" si="18"/>
        <v>13.02629977884472</v>
      </c>
      <c r="M97" s="66">
        <f t="shared" si="19"/>
        <v>0</v>
      </c>
      <c r="N97" s="171">
        <f t="shared" si="16"/>
        <v>13.02629977884472</v>
      </c>
    </row>
    <row r="98" spans="1:14" x14ac:dyDescent="0.2">
      <c r="A98" s="60"/>
      <c r="B98" s="12"/>
      <c r="C98" s="237"/>
      <c r="D98" s="120" t="s">
        <v>116</v>
      </c>
      <c r="E98" s="65">
        <v>16</v>
      </c>
      <c r="F98" s="126">
        <v>2</v>
      </c>
      <c r="G98" s="127">
        <f>($C$95+E98+E98+4)*PI()+($C$95+E98+E98+8)*PI()</f>
        <v>917.34505484821966</v>
      </c>
      <c r="H98" s="72">
        <f t="shared" si="14"/>
        <v>10.901023499444886</v>
      </c>
      <c r="I98" s="156">
        <f t="shared" si="20"/>
        <v>464.9557127312894</v>
      </c>
      <c r="J98" s="157">
        <f t="shared" si="17"/>
        <v>5.3768561855370045</v>
      </c>
      <c r="K98" s="173">
        <v>73</v>
      </c>
      <c r="L98" s="173">
        <f t="shared" si="18"/>
        <v>13.576706811753651</v>
      </c>
      <c r="M98" s="66">
        <f t="shared" si="19"/>
        <v>0</v>
      </c>
      <c r="N98" s="171">
        <f t="shared" si="16"/>
        <v>13.576706811753651</v>
      </c>
    </row>
    <row r="99" spans="1:14" x14ac:dyDescent="0.2">
      <c r="A99" s="60"/>
      <c r="B99" s="12"/>
      <c r="C99" s="237"/>
      <c r="D99" s="120" t="s">
        <v>116</v>
      </c>
      <c r="E99" s="65">
        <v>19</v>
      </c>
      <c r="F99" s="126">
        <v>2</v>
      </c>
      <c r="G99" s="127">
        <f>($C$95+E99+E99+4)*PI()+($C$95+E99+E99+8)*PI()</f>
        <v>955.04416669129705</v>
      </c>
      <c r="H99" s="72">
        <f t="shared" si="14"/>
        <v>10.470719940256274</v>
      </c>
      <c r="I99" s="156">
        <f t="shared" si="20"/>
        <v>483.80526865282815</v>
      </c>
      <c r="J99" s="157">
        <f t="shared" si="17"/>
        <v>5.1673682822043938</v>
      </c>
      <c r="K99" s="173">
        <v>73</v>
      </c>
      <c r="L99" s="173">
        <f t="shared" si="18"/>
        <v>14.127113844662583</v>
      </c>
      <c r="M99" s="66">
        <f t="shared" si="19"/>
        <v>0</v>
      </c>
      <c r="N99" s="171">
        <f t="shared" si="16"/>
        <v>14.127113844662583</v>
      </c>
    </row>
    <row r="100" spans="1:14" x14ac:dyDescent="0.2">
      <c r="A100" s="60"/>
      <c r="B100" s="12"/>
      <c r="C100" s="237"/>
      <c r="D100" s="120" t="s">
        <v>116</v>
      </c>
      <c r="E100" s="65">
        <v>25</v>
      </c>
      <c r="F100" s="126">
        <v>3</v>
      </c>
      <c r="G100" s="127">
        <f>($C$95+E100+E100+4)*PI()+($C$95+E100+E100+8)*PI()+($C$95+E100+E100+12)*PI()</f>
        <v>1564.5131414877171</v>
      </c>
      <c r="H100" s="72">
        <f t="shared" si="14"/>
        <v>6.3917647828070416</v>
      </c>
      <c r="I100" s="156">
        <f t="shared" si="20"/>
        <v>534.07075111026484</v>
      </c>
      <c r="J100" s="157">
        <f t="shared" si="17"/>
        <v>4.6810277379969216</v>
      </c>
      <c r="K100" s="173">
        <v>73</v>
      </c>
      <c r="L100" s="173">
        <f t="shared" si="18"/>
        <v>15.594865932419733</v>
      </c>
      <c r="M100" s="66">
        <f t="shared" si="19"/>
        <v>0</v>
      </c>
      <c r="N100" s="171">
        <f t="shared" si="16"/>
        <v>15.594865932419733</v>
      </c>
    </row>
    <row r="101" spans="1:14" x14ac:dyDescent="0.2">
      <c r="A101" s="60"/>
      <c r="B101" s="12"/>
      <c r="C101" s="237"/>
      <c r="D101" s="120" t="s">
        <v>116</v>
      </c>
      <c r="E101" s="65">
        <v>32</v>
      </c>
      <c r="F101" s="126">
        <v>3</v>
      </c>
      <c r="G101" s="127">
        <f>($C$95+E101+E101+4)*PI()+($C$95+E101+E101+8)*PI()+($C$95+E101+E101+12)*PI()</f>
        <v>1696.460032938488</v>
      </c>
      <c r="H101" s="72">
        <f t="shared" si="14"/>
        <v>5.8946275219220503</v>
      </c>
      <c r="I101" s="156">
        <f t="shared" si="20"/>
        <v>578.0530482605219</v>
      </c>
      <c r="J101" s="157">
        <f t="shared" si="17"/>
        <v>4.324862584018895</v>
      </c>
      <c r="K101" s="173">
        <v>73</v>
      </c>
      <c r="L101" s="173">
        <f t="shared" si="18"/>
        <v>16.879149009207239</v>
      </c>
      <c r="M101" s="66">
        <f t="shared" si="19"/>
        <v>0</v>
      </c>
      <c r="N101" s="171">
        <f t="shared" si="16"/>
        <v>16.879149009207239</v>
      </c>
    </row>
    <row r="102" spans="1:14" x14ac:dyDescent="0.2">
      <c r="A102" s="60"/>
      <c r="B102" s="12"/>
      <c r="C102" s="237"/>
      <c r="D102" s="120" t="s">
        <v>116</v>
      </c>
      <c r="E102" s="65">
        <v>40</v>
      </c>
      <c r="F102" s="126">
        <v>4</v>
      </c>
      <c r="G102" s="127">
        <f>($C$95+E102+E102+4)*PI()+($C$95+E102+E102+8)*PI()+($C$95+E102+E102+12)*PI()+($C$95+E102+E102+16)*PI()</f>
        <v>2488.1413816431163</v>
      </c>
      <c r="H102" s="72">
        <f t="shared" si="14"/>
        <v>4.0190642194923063</v>
      </c>
      <c r="I102" s="156">
        <f t="shared" si="20"/>
        <v>640.88490133231778</v>
      </c>
      <c r="J102" s="157">
        <f t="shared" si="17"/>
        <v>3.9008564483307682</v>
      </c>
      <c r="K102" s="173">
        <v>73</v>
      </c>
      <c r="L102" s="173">
        <f t="shared" si="18"/>
        <v>18.713839118903678</v>
      </c>
      <c r="M102" s="66">
        <f t="shared" si="19"/>
        <v>0</v>
      </c>
      <c r="N102" s="171">
        <f t="shared" si="16"/>
        <v>18.713839118903678</v>
      </c>
    </row>
    <row r="103" spans="1:14" x14ac:dyDescent="0.2">
      <c r="A103" s="60"/>
      <c r="B103" s="12"/>
      <c r="C103" s="237"/>
      <c r="D103" s="120" t="s">
        <v>116</v>
      </c>
      <c r="E103" s="65">
        <v>50</v>
      </c>
      <c r="F103" s="126">
        <v>4</v>
      </c>
      <c r="G103" s="127">
        <f>($C$95+E103+E103+4)*PI()+($C$95+E103+E103+8)*PI()+($C$95+E103+E103+12)*PI()+($C$95+E103+E103+16)*PI()</f>
        <v>2739.4687939302994</v>
      </c>
      <c r="H103" s="72">
        <f t="shared" si="14"/>
        <v>3.6503427314654897</v>
      </c>
      <c r="I103" s="156">
        <f t="shared" si="20"/>
        <v>703.71675440411366</v>
      </c>
      <c r="J103" s="157">
        <f t="shared" si="17"/>
        <v>3.552565694015521</v>
      </c>
      <c r="K103" s="173">
        <v>73</v>
      </c>
      <c r="L103" s="173">
        <f t="shared" si="18"/>
        <v>20.54852922860012</v>
      </c>
      <c r="M103" s="66">
        <f t="shared" si="19"/>
        <v>0</v>
      </c>
      <c r="N103" s="171">
        <f t="shared" si="16"/>
        <v>20.54852922860012</v>
      </c>
    </row>
    <row r="104" spans="1:14" x14ac:dyDescent="0.2">
      <c r="A104" s="60"/>
      <c r="B104" s="12"/>
      <c r="C104" s="237">
        <v>114.3</v>
      </c>
      <c r="D104" s="120" t="s">
        <v>116</v>
      </c>
      <c r="E104" s="65">
        <v>9</v>
      </c>
      <c r="F104" s="126">
        <v>1</v>
      </c>
      <c r="G104" s="127">
        <f>($C$104+E104+E104+4)*PI()</f>
        <v>428.19907868428885</v>
      </c>
      <c r="H104" s="72">
        <f t="shared" si="14"/>
        <v>23.353623344372021</v>
      </c>
      <c r="I104" s="156">
        <f>($C$104+(E104*2)+(F104*2*2))*PI()</f>
        <v>428.19907868428885</v>
      </c>
      <c r="J104" s="157">
        <f t="shared" si="17"/>
        <v>5.8384058360930053</v>
      </c>
      <c r="K104" s="173">
        <v>73</v>
      </c>
      <c r="L104" s="173">
        <f t="shared" si="18"/>
        <v>12.503413097581234</v>
      </c>
      <c r="M104" s="66">
        <f t="shared" si="19"/>
        <v>0</v>
      </c>
      <c r="N104" s="171">
        <f t="shared" si="16"/>
        <v>12.503413097581234</v>
      </c>
    </row>
    <row r="105" spans="1:14" x14ac:dyDescent="0.2">
      <c r="A105" s="60"/>
      <c r="B105" s="12"/>
      <c r="C105" s="237"/>
      <c r="D105" s="120" t="s">
        <v>116</v>
      </c>
      <c r="E105" s="65">
        <v>10</v>
      </c>
      <c r="F105" s="126">
        <v>2</v>
      </c>
      <c r="G105" s="127">
        <f>($C$104+E105+E105+4)*PI()+($C$104+E105+E105+8)*PI()</f>
        <v>881.53089859729607</v>
      </c>
      <c r="H105" s="72">
        <f t="shared" si="14"/>
        <v>11.34390185972169</v>
      </c>
      <c r="I105" s="156">
        <f t="shared" ref="I105:I112" si="21">($C$104+(E105*2)+(F105*2*2))*PI()</f>
        <v>447.0486346058276</v>
      </c>
      <c r="J105" s="157">
        <f t="shared" si="17"/>
        <v>5.5922327158079872</v>
      </c>
      <c r="K105" s="173">
        <v>73</v>
      </c>
      <c r="L105" s="173">
        <f t="shared" si="18"/>
        <v>13.053820130490166</v>
      </c>
      <c r="M105" s="66">
        <f t="shared" si="19"/>
        <v>0</v>
      </c>
      <c r="N105" s="171">
        <f t="shared" si="16"/>
        <v>13.053820130490166</v>
      </c>
    </row>
    <row r="106" spans="1:14" x14ac:dyDescent="0.2">
      <c r="A106" s="60"/>
      <c r="B106" s="12"/>
      <c r="C106" s="237"/>
      <c r="D106" s="120" t="s">
        <v>116</v>
      </c>
      <c r="E106" s="65">
        <v>13</v>
      </c>
      <c r="F106" s="126">
        <v>2</v>
      </c>
      <c r="G106" s="127">
        <f>($C$104+E106+E106+4)*PI()+($C$104+E106+E106+8)*PI()</f>
        <v>919.23001044037346</v>
      </c>
      <c r="H106" s="72">
        <f t="shared" si="14"/>
        <v>10.878670067798724</v>
      </c>
      <c r="I106" s="156">
        <f t="shared" si="21"/>
        <v>465.89819052736635</v>
      </c>
      <c r="J106" s="157">
        <f t="shared" si="17"/>
        <v>5.3659792006707798</v>
      </c>
      <c r="K106" s="173">
        <v>73</v>
      </c>
      <c r="L106" s="173">
        <f t="shared" si="18"/>
        <v>13.604227163399097</v>
      </c>
      <c r="M106" s="66">
        <f t="shared" si="19"/>
        <v>0</v>
      </c>
      <c r="N106" s="171">
        <f t="shared" si="16"/>
        <v>13.604227163399097</v>
      </c>
    </row>
    <row r="107" spans="1:14" x14ac:dyDescent="0.2">
      <c r="A107" s="60"/>
      <c r="B107" s="12"/>
      <c r="C107" s="237"/>
      <c r="D107" s="120" t="s">
        <v>116</v>
      </c>
      <c r="E107" s="65">
        <v>16</v>
      </c>
      <c r="F107" s="126">
        <v>2</v>
      </c>
      <c r="G107" s="127">
        <f>($C$104+E107+E107+4)*PI()+($C$104+E107+E107+8)*PI()</f>
        <v>956.92912228345108</v>
      </c>
      <c r="H107" s="72">
        <f t="shared" si="14"/>
        <v>10.450094753243292</v>
      </c>
      <c r="I107" s="156">
        <f t="shared" si="21"/>
        <v>484.7477464489051</v>
      </c>
      <c r="J107" s="157">
        <f t="shared" si="17"/>
        <v>5.1573215519084687</v>
      </c>
      <c r="K107" s="173">
        <v>73</v>
      </c>
      <c r="L107" s="173">
        <f t="shared" si="18"/>
        <v>14.154634196308027</v>
      </c>
      <c r="M107" s="66">
        <f t="shared" si="19"/>
        <v>0</v>
      </c>
      <c r="N107" s="171">
        <f t="shared" si="16"/>
        <v>14.154634196308027</v>
      </c>
    </row>
    <row r="108" spans="1:14" x14ac:dyDescent="0.2">
      <c r="A108" s="60"/>
      <c r="B108" s="12"/>
      <c r="C108" s="237"/>
      <c r="D108" s="120" t="s">
        <v>116</v>
      </c>
      <c r="E108" s="65">
        <v>19</v>
      </c>
      <c r="F108" s="126">
        <v>2</v>
      </c>
      <c r="G108" s="127">
        <f>($C$104+E108+E108+4)*PI()+($C$104+E108+E108+8)*PI()</f>
        <v>994.62823412652858</v>
      </c>
      <c r="H108" s="72">
        <f t="shared" si="14"/>
        <v>10.054007775861992</v>
      </c>
      <c r="I108" s="156">
        <f t="shared" si="21"/>
        <v>503.59730237044386</v>
      </c>
      <c r="J108" s="157">
        <f t="shared" si="17"/>
        <v>4.9642839392356626</v>
      </c>
      <c r="K108" s="173">
        <v>73</v>
      </c>
      <c r="L108" s="173">
        <f t="shared" si="18"/>
        <v>14.70504122921696</v>
      </c>
      <c r="M108" s="66">
        <f t="shared" si="19"/>
        <v>0</v>
      </c>
      <c r="N108" s="171">
        <f t="shared" si="16"/>
        <v>14.70504122921696</v>
      </c>
    </row>
    <row r="109" spans="1:14" x14ac:dyDescent="0.2">
      <c r="A109" s="60"/>
      <c r="B109" s="12"/>
      <c r="C109" s="237"/>
      <c r="D109" s="120" t="s">
        <v>116</v>
      </c>
      <c r="E109" s="65">
        <v>25</v>
      </c>
      <c r="F109" s="126">
        <v>3</v>
      </c>
      <c r="G109" s="127">
        <f>($C$104+E109+E109+4)*PI()+($C$104+E109+E109+8)*PI()+($C$104+E109+E109+12)*PI()</f>
        <v>1623.8892426405641</v>
      </c>
      <c r="H109" s="72">
        <f t="shared" si="14"/>
        <v>6.1580554494832782</v>
      </c>
      <c r="I109" s="156">
        <f t="shared" si="21"/>
        <v>553.86278482788055</v>
      </c>
      <c r="J109" s="157">
        <f t="shared" si="17"/>
        <v>4.5137533491745696</v>
      </c>
      <c r="K109" s="173">
        <v>73</v>
      </c>
      <c r="L109" s="173">
        <f t="shared" si="18"/>
        <v>16.172793316974115</v>
      </c>
      <c r="M109" s="66">
        <f t="shared" si="19"/>
        <v>0</v>
      </c>
      <c r="N109" s="171">
        <f t="shared" si="16"/>
        <v>16.172793316974115</v>
      </c>
    </row>
    <row r="110" spans="1:14" x14ac:dyDescent="0.2">
      <c r="A110" s="60"/>
      <c r="B110" s="12"/>
      <c r="C110" s="237"/>
      <c r="D110" s="120" t="s">
        <v>116</v>
      </c>
      <c r="E110" s="65">
        <v>32</v>
      </c>
      <c r="F110" s="126">
        <v>3</v>
      </c>
      <c r="G110" s="127">
        <f>($C$104+E110+E110+4)*PI()+($C$104+E110+E110+8)*PI()+($C$104+E110+E110+12)*PI()</f>
        <v>1755.8361340913355</v>
      </c>
      <c r="H110" s="72">
        <f t="shared" si="14"/>
        <v>5.6952922917121249</v>
      </c>
      <c r="I110" s="156">
        <f t="shared" si="21"/>
        <v>597.84508197813761</v>
      </c>
      <c r="J110" s="157">
        <f t="shared" si="17"/>
        <v>4.1816853150787008</v>
      </c>
      <c r="K110" s="173">
        <v>73</v>
      </c>
      <c r="L110" s="173">
        <f t="shared" si="18"/>
        <v>17.457076393761618</v>
      </c>
      <c r="M110" s="66">
        <f t="shared" si="19"/>
        <v>0</v>
      </c>
      <c r="N110" s="171">
        <f t="shared" si="16"/>
        <v>17.457076393761618</v>
      </c>
    </row>
    <row r="111" spans="1:14" x14ac:dyDescent="0.2">
      <c r="A111" s="60"/>
      <c r="B111" s="12"/>
      <c r="C111" s="237"/>
      <c r="D111" s="120" t="s">
        <v>116</v>
      </c>
      <c r="E111" s="65">
        <v>40</v>
      </c>
      <c r="F111" s="126">
        <v>4</v>
      </c>
      <c r="G111" s="127">
        <f>($C$104+E111+E111+4)*PI()+($C$104+E111+E111+8)*PI()+($C$104+E111+E111+12)*PI()+($C$104+E111+E111+16)*PI()</f>
        <v>2567.3095165135792</v>
      </c>
      <c r="H111" s="72">
        <f t="shared" si="14"/>
        <v>3.8951283184506931</v>
      </c>
      <c r="I111" s="156">
        <f t="shared" si="21"/>
        <v>660.67693504993349</v>
      </c>
      <c r="J111" s="157">
        <f t="shared" si="17"/>
        <v>3.7839976959556667</v>
      </c>
      <c r="K111" s="173">
        <v>73</v>
      </c>
      <c r="L111" s="173">
        <f t="shared" si="18"/>
        <v>19.291766503458057</v>
      </c>
      <c r="M111" s="66">
        <f t="shared" si="19"/>
        <v>0</v>
      </c>
      <c r="N111" s="171">
        <f t="shared" si="16"/>
        <v>19.291766503458057</v>
      </c>
    </row>
    <row r="112" spans="1:14" x14ac:dyDescent="0.2">
      <c r="A112" s="60"/>
      <c r="B112" s="12"/>
      <c r="C112" s="237"/>
      <c r="D112" s="120" t="s">
        <v>116</v>
      </c>
      <c r="E112" s="65">
        <v>50</v>
      </c>
      <c r="F112" s="126">
        <v>4</v>
      </c>
      <c r="G112" s="127">
        <f>($C$104+E112+E112+4)*PI()+($C$104+E112+E112+8)*PI()+($C$104+E112+E112+12)*PI()+($C$104+E112+E112+16)*PI()</f>
        <v>2818.6369288007627</v>
      </c>
      <c r="H112" s="72">
        <f t="shared" si="14"/>
        <v>3.5478141571978448</v>
      </c>
      <c r="I112" s="156">
        <f t="shared" si="21"/>
        <v>723.50878812172937</v>
      </c>
      <c r="J112" s="157">
        <f t="shared" si="17"/>
        <v>3.4553830458509625</v>
      </c>
      <c r="K112" s="173">
        <v>73</v>
      </c>
      <c r="L112" s="173">
        <f t="shared" si="18"/>
        <v>21.126456613154499</v>
      </c>
      <c r="M112" s="66">
        <f t="shared" si="19"/>
        <v>0</v>
      </c>
      <c r="N112" s="171">
        <f t="shared" si="16"/>
        <v>21.126456613154499</v>
      </c>
    </row>
    <row r="113" spans="1:14" x14ac:dyDescent="0.2">
      <c r="A113" s="60"/>
      <c r="B113" s="12"/>
      <c r="C113" s="237">
        <v>139.69999999999999</v>
      </c>
      <c r="D113" s="120" t="s">
        <v>116</v>
      </c>
      <c r="E113" s="65">
        <v>9</v>
      </c>
      <c r="F113" s="126">
        <v>1</v>
      </c>
      <c r="G113" s="127">
        <f>($C$113+E113+E113+4)*PI()</f>
        <v>507.99553208546951</v>
      </c>
      <c r="H113" s="72">
        <f t="shared" si="14"/>
        <v>19.685212503635789</v>
      </c>
      <c r="I113" s="156">
        <f>($C$113+(E113*2)+(F113*2*2))*PI()</f>
        <v>507.99553208546951</v>
      </c>
      <c r="J113" s="157">
        <f t="shared" si="17"/>
        <v>4.9213031259089473</v>
      </c>
      <c r="K113" s="173">
        <v>73</v>
      </c>
      <c r="L113" s="173">
        <f t="shared" si="18"/>
        <v>14.833469536895709</v>
      </c>
      <c r="M113" s="66">
        <f t="shared" si="19"/>
        <v>0</v>
      </c>
      <c r="N113" s="171">
        <f t="shared" si="16"/>
        <v>14.833469536895709</v>
      </c>
    </row>
    <row r="114" spans="1:14" x14ac:dyDescent="0.2">
      <c r="A114" s="60"/>
      <c r="B114" s="12"/>
      <c r="C114" s="237"/>
      <c r="D114" s="120" t="s">
        <v>116</v>
      </c>
      <c r="E114" s="65">
        <v>10</v>
      </c>
      <c r="F114" s="126">
        <v>2</v>
      </c>
      <c r="G114" s="127">
        <f>($C$113+E114+E114+4)*PI()+($C$113+E114+E114+8)*PI()</f>
        <v>1041.1238053996574</v>
      </c>
      <c r="H114" s="72">
        <f t="shared" si="14"/>
        <v>9.6050056180986942</v>
      </c>
      <c r="I114" s="156">
        <f t="shared" ref="I114:I121" si="22">($C$113+(E114*2)+(F114*2*2))*PI()</f>
        <v>526.84508800700826</v>
      </c>
      <c r="J114" s="157">
        <f t="shared" si="17"/>
        <v>4.7452278799014715</v>
      </c>
      <c r="K114" s="173">
        <v>73</v>
      </c>
      <c r="L114" s="173">
        <f t="shared" si="18"/>
        <v>15.383876569804642</v>
      </c>
      <c r="M114" s="66">
        <f t="shared" si="19"/>
        <v>0</v>
      </c>
      <c r="N114" s="171">
        <f t="shared" si="16"/>
        <v>15.383876569804642</v>
      </c>
    </row>
    <row r="115" spans="1:14" x14ac:dyDescent="0.2">
      <c r="A115" s="60"/>
      <c r="B115" s="12"/>
      <c r="C115" s="237"/>
      <c r="D115" s="120" t="s">
        <v>116</v>
      </c>
      <c r="E115" s="65">
        <v>13</v>
      </c>
      <c r="F115" s="126">
        <v>2</v>
      </c>
      <c r="G115" s="127">
        <f>($C$113+E115+E115+4)*PI()+($C$113+E115+E115+8)*PI()</f>
        <v>1078.822917242735</v>
      </c>
      <c r="H115" s="72">
        <f t="shared" si="14"/>
        <v>9.2693618574196464</v>
      </c>
      <c r="I115" s="156">
        <f t="shared" si="22"/>
        <v>545.69464392854707</v>
      </c>
      <c r="J115" s="157">
        <f t="shared" si="17"/>
        <v>4.581316726882422</v>
      </c>
      <c r="K115" s="173">
        <v>73</v>
      </c>
      <c r="L115" s="173">
        <f t="shared" si="18"/>
        <v>15.934283602713574</v>
      </c>
      <c r="M115" s="66">
        <f t="shared" si="19"/>
        <v>0</v>
      </c>
      <c r="N115" s="171">
        <f t="shared" si="16"/>
        <v>15.934283602713574</v>
      </c>
    </row>
    <row r="116" spans="1:14" x14ac:dyDescent="0.2">
      <c r="A116" s="60"/>
      <c r="B116" s="12"/>
      <c r="C116" s="237"/>
      <c r="D116" s="120" t="s">
        <v>116</v>
      </c>
      <c r="E116" s="65">
        <v>16</v>
      </c>
      <c r="F116" s="126">
        <v>2</v>
      </c>
      <c r="G116" s="127">
        <f>($C$113+E116+E116+4)*PI()+($C$113+E116+E116+8)*PI()</f>
        <v>1116.5220290858124</v>
      </c>
      <c r="H116" s="72">
        <f t="shared" si="14"/>
        <v>8.9563839669046352</v>
      </c>
      <c r="I116" s="156">
        <f t="shared" si="22"/>
        <v>564.54419985008576</v>
      </c>
      <c r="J116" s="157">
        <f t="shared" si="17"/>
        <v>4.4283512268195704</v>
      </c>
      <c r="K116" s="173">
        <v>73</v>
      </c>
      <c r="L116" s="173">
        <f t="shared" si="18"/>
        <v>16.484690635622503</v>
      </c>
      <c r="M116" s="66">
        <f t="shared" si="19"/>
        <v>0</v>
      </c>
      <c r="N116" s="171">
        <f t="shared" si="16"/>
        <v>16.484690635622503</v>
      </c>
    </row>
    <row r="117" spans="1:14" x14ac:dyDescent="0.2">
      <c r="A117" s="60"/>
      <c r="B117" s="12"/>
      <c r="C117" s="237"/>
      <c r="D117" s="120" t="s">
        <v>116</v>
      </c>
      <c r="E117" s="65">
        <v>19</v>
      </c>
      <c r="F117" s="126">
        <v>2</v>
      </c>
      <c r="G117" s="127">
        <f>($C$113+E117+E117+4)*PI()+($C$113+E117+E117+8)*PI()</f>
        <v>1154.2211409288898</v>
      </c>
      <c r="H117" s="72">
        <f t="shared" si="14"/>
        <v>8.6638510120792258</v>
      </c>
      <c r="I117" s="156">
        <f t="shared" si="22"/>
        <v>583.39375577162457</v>
      </c>
      <c r="J117" s="157">
        <f t="shared" si="17"/>
        <v>4.2852704117365468</v>
      </c>
      <c r="K117" s="173">
        <v>73</v>
      </c>
      <c r="L117" s="173">
        <f t="shared" si="18"/>
        <v>17.035097668531439</v>
      </c>
      <c r="M117" s="66">
        <f t="shared" si="19"/>
        <v>0</v>
      </c>
      <c r="N117" s="171">
        <f t="shared" si="16"/>
        <v>17.035097668531439</v>
      </c>
    </row>
    <row r="118" spans="1:14" x14ac:dyDescent="0.2">
      <c r="A118" s="60"/>
      <c r="B118" s="12"/>
      <c r="C118" s="237"/>
      <c r="D118" s="120" t="s">
        <v>116</v>
      </c>
      <c r="E118" s="65">
        <v>25</v>
      </c>
      <c r="F118" s="126">
        <v>3</v>
      </c>
      <c r="G118" s="127">
        <f>($C$113+E118+E118+4)*PI()+($C$113+E118+E118+8)*PI()+($C$113+E118+E118+12)*PI()</f>
        <v>1863.2786028441062</v>
      </c>
      <c r="H118" s="72">
        <f t="shared" si="14"/>
        <v>5.3668839349821393</v>
      </c>
      <c r="I118" s="156">
        <f t="shared" si="22"/>
        <v>633.6592382290612</v>
      </c>
      <c r="J118" s="157">
        <f t="shared" si="17"/>
        <v>3.9453382025754924</v>
      </c>
      <c r="K118" s="173">
        <v>73</v>
      </c>
      <c r="L118" s="173">
        <f t="shared" si="18"/>
        <v>18.502849756288587</v>
      </c>
      <c r="M118" s="66">
        <f t="shared" si="19"/>
        <v>0</v>
      </c>
      <c r="N118" s="171">
        <f t="shared" si="16"/>
        <v>18.502849756288587</v>
      </c>
    </row>
    <row r="119" spans="1:14" x14ac:dyDescent="0.2">
      <c r="A119" s="60"/>
      <c r="B119" s="12"/>
      <c r="C119" s="237"/>
      <c r="D119" s="120" t="s">
        <v>116</v>
      </c>
      <c r="E119" s="65">
        <v>32</v>
      </c>
      <c r="F119" s="126">
        <v>3</v>
      </c>
      <c r="G119" s="127">
        <f>($C$113+E119+E119+4)*PI()+($C$113+E119+E119+8)*PI()+($C$113+E119+E119+12)*PI()</f>
        <v>1995.2254942948775</v>
      </c>
      <c r="H119" s="72">
        <f t="shared" ref="H119:H140" si="23">10000/G119</f>
        <v>5.0119648273309823</v>
      </c>
      <c r="I119" s="156">
        <f t="shared" si="22"/>
        <v>677.64153537931838</v>
      </c>
      <c r="J119" s="157">
        <f t="shared" si="17"/>
        <v>3.6892661820096277</v>
      </c>
      <c r="K119" s="173">
        <v>73</v>
      </c>
      <c r="L119" s="173">
        <f t="shared" si="18"/>
        <v>19.787132833076097</v>
      </c>
      <c r="M119" s="66">
        <f t="shared" si="19"/>
        <v>0</v>
      </c>
      <c r="N119" s="171">
        <f t="shared" ref="N119:N140" si="24">L119*(1-M119)</f>
        <v>19.787132833076097</v>
      </c>
    </row>
    <row r="120" spans="1:14" x14ac:dyDescent="0.2">
      <c r="A120" s="60"/>
      <c r="B120" s="12"/>
      <c r="C120" s="237"/>
      <c r="D120" s="120" t="s">
        <v>116</v>
      </c>
      <c r="E120" s="65">
        <v>40</v>
      </c>
      <c r="F120" s="126">
        <v>4</v>
      </c>
      <c r="G120" s="127">
        <f>($C$113+E120+E120+4)*PI()+($C$113+E120+E120+8)*PI()+($C$113+E120+E120+12)*PI()+($C$113+E120+E120+16)*PI()</f>
        <v>2886.4953301183018</v>
      </c>
      <c r="H120" s="72">
        <f t="shared" si="23"/>
        <v>3.4644088613821364</v>
      </c>
      <c r="I120" s="156">
        <f t="shared" si="22"/>
        <v>740.47338845111415</v>
      </c>
      <c r="J120" s="157">
        <f t="shared" si="17"/>
        <v>3.3762185636804278</v>
      </c>
      <c r="K120" s="173">
        <v>73</v>
      </c>
      <c r="L120" s="173">
        <f t="shared" si="18"/>
        <v>21.621822942772532</v>
      </c>
      <c r="M120" s="66">
        <f t="shared" ref="M120:M140" si="25">$M$23</f>
        <v>0</v>
      </c>
      <c r="N120" s="171">
        <f t="shared" si="24"/>
        <v>21.621822942772532</v>
      </c>
    </row>
    <row r="121" spans="1:14" x14ac:dyDescent="0.2">
      <c r="A121" s="60"/>
      <c r="B121" s="12"/>
      <c r="C121" s="237"/>
      <c r="D121" s="120" t="s">
        <v>116</v>
      </c>
      <c r="E121" s="65">
        <v>50</v>
      </c>
      <c r="F121" s="126">
        <v>4</v>
      </c>
      <c r="G121" s="127">
        <f>($C$113+E121+E121+4)*PI()+($C$113+E121+E121+8)*PI()+($C$113+E121+E121+12)*PI()+($C$113+E121+E121+16)*PI()</f>
        <v>3137.8227424054849</v>
      </c>
      <c r="H121" s="72">
        <f t="shared" si="23"/>
        <v>3.186923169641477</v>
      </c>
      <c r="I121" s="156">
        <f t="shared" si="22"/>
        <v>803.30524152291002</v>
      </c>
      <c r="J121" s="157">
        <f t="shared" si="17"/>
        <v>3.1121420236976016</v>
      </c>
      <c r="K121" s="173">
        <v>73</v>
      </c>
      <c r="L121" s="173">
        <f t="shared" si="18"/>
        <v>23.456513052468974</v>
      </c>
      <c r="M121" s="66">
        <f t="shared" si="25"/>
        <v>0</v>
      </c>
      <c r="N121" s="171">
        <f t="shared" si="24"/>
        <v>23.456513052468974</v>
      </c>
    </row>
    <row r="122" spans="1:14" x14ac:dyDescent="0.2">
      <c r="A122" s="60"/>
      <c r="B122" s="12"/>
      <c r="C122" s="237">
        <v>159</v>
      </c>
      <c r="D122" s="120" t="s">
        <v>116</v>
      </c>
      <c r="E122" s="65">
        <v>9</v>
      </c>
      <c r="F122" s="126">
        <v>1</v>
      </c>
      <c r="G122" s="127">
        <f>($C$122+E122+E122+4)*PI()</f>
        <v>568.62827029975256</v>
      </c>
      <c r="H122" s="72">
        <f t="shared" si="23"/>
        <v>17.586181557115506</v>
      </c>
      <c r="I122" s="156">
        <f>($C$122+(E122*2)+(F122*2*2))*PI()</f>
        <v>568.62827029975256</v>
      </c>
      <c r="J122" s="157">
        <f t="shared" si="17"/>
        <v>4.3965453892788764</v>
      </c>
      <c r="K122" s="173">
        <v>73</v>
      </c>
      <c r="L122" s="173">
        <f t="shared" si="18"/>
        <v>16.603945492752775</v>
      </c>
      <c r="M122" s="66">
        <f t="shared" si="25"/>
        <v>0</v>
      </c>
      <c r="N122" s="171">
        <f t="shared" si="24"/>
        <v>16.603945492752775</v>
      </c>
    </row>
    <row r="123" spans="1:14" x14ac:dyDescent="0.2">
      <c r="A123" s="60"/>
      <c r="B123" s="12"/>
      <c r="C123" s="237"/>
      <c r="D123" s="120" t="s">
        <v>116</v>
      </c>
      <c r="E123" s="65">
        <v>10</v>
      </c>
      <c r="F123" s="126">
        <v>2</v>
      </c>
      <c r="G123" s="127">
        <f>($C$122+E123+E123+4)*PI()+($C$122+E123+E123+8)*PI()</f>
        <v>1162.3892818282234</v>
      </c>
      <c r="H123" s="72">
        <f t="shared" si="23"/>
        <v>8.602969896859209</v>
      </c>
      <c r="I123" s="156">
        <f t="shared" ref="I123:I130" si="26">($C$122+(E123*2)+(F123*2*2))*PI()</f>
        <v>587.47782622129137</v>
      </c>
      <c r="J123" s="157">
        <f t="shared" si="17"/>
        <v>4.2554797618153835</v>
      </c>
      <c r="K123" s="173">
        <v>73</v>
      </c>
      <c r="L123" s="173">
        <f t="shared" si="18"/>
        <v>17.154352525661707</v>
      </c>
      <c r="M123" s="66">
        <f t="shared" si="25"/>
        <v>0</v>
      </c>
      <c r="N123" s="171">
        <f t="shared" si="24"/>
        <v>17.154352525661707</v>
      </c>
    </row>
    <row r="124" spans="1:14" x14ac:dyDescent="0.2">
      <c r="A124" s="60"/>
      <c r="B124" s="12"/>
      <c r="C124" s="237"/>
      <c r="D124" s="120" t="s">
        <v>116</v>
      </c>
      <c r="E124" s="65">
        <v>13</v>
      </c>
      <c r="F124" s="126">
        <v>2</v>
      </c>
      <c r="G124" s="127">
        <f>($C$122+E124+E124+4)*PI()+($C$122+E124+E124+8)*PI()</f>
        <v>1200.088393671301</v>
      </c>
      <c r="H124" s="72">
        <f t="shared" si="23"/>
        <v>8.3327195336070865</v>
      </c>
      <c r="I124" s="156">
        <f t="shared" si="26"/>
        <v>606.32738214283006</v>
      </c>
      <c r="J124" s="157">
        <f t="shared" si="17"/>
        <v>4.1231850541941801</v>
      </c>
      <c r="K124" s="173">
        <v>73</v>
      </c>
      <c r="L124" s="173">
        <f t="shared" si="18"/>
        <v>17.704759558570636</v>
      </c>
      <c r="M124" s="66">
        <f t="shared" si="25"/>
        <v>0</v>
      </c>
      <c r="N124" s="171">
        <f t="shared" si="24"/>
        <v>17.704759558570636</v>
      </c>
    </row>
    <row r="125" spans="1:14" x14ac:dyDescent="0.2">
      <c r="A125" s="60"/>
      <c r="B125" s="12"/>
      <c r="C125" s="237"/>
      <c r="D125" s="120" t="s">
        <v>116</v>
      </c>
      <c r="E125" s="65">
        <v>16</v>
      </c>
      <c r="F125" s="126">
        <v>2</v>
      </c>
      <c r="G125" s="127">
        <f>($C$122+E125+E125+4)*PI()+($C$122+E125+E125+8)*PI()</f>
        <v>1237.7875055143786</v>
      </c>
      <c r="H125" s="72">
        <f t="shared" si="23"/>
        <v>8.0789311214160069</v>
      </c>
      <c r="I125" s="156">
        <f t="shared" si="26"/>
        <v>625.17693806436887</v>
      </c>
      <c r="J125" s="157">
        <f t="shared" si="17"/>
        <v>3.9988679168817924</v>
      </c>
      <c r="K125" s="173">
        <v>73</v>
      </c>
      <c r="L125" s="173">
        <f t="shared" si="18"/>
        <v>18.255166591479568</v>
      </c>
      <c r="M125" s="66">
        <f t="shared" si="25"/>
        <v>0</v>
      </c>
      <c r="N125" s="171">
        <f t="shared" si="24"/>
        <v>18.255166591479568</v>
      </c>
    </row>
    <row r="126" spans="1:14" x14ac:dyDescent="0.2">
      <c r="A126" s="60"/>
      <c r="B126" s="12"/>
      <c r="C126" s="237"/>
      <c r="D126" s="120" t="s">
        <v>116</v>
      </c>
      <c r="E126" s="65">
        <v>19</v>
      </c>
      <c r="F126" s="126">
        <v>2</v>
      </c>
      <c r="G126" s="127">
        <f>($C$122+E126+E126+4)*PI()+($C$122+E126+E126+8)*PI()</f>
        <v>1275.486617357456</v>
      </c>
      <c r="H126" s="72">
        <f t="shared" si="23"/>
        <v>7.8401449798963228</v>
      </c>
      <c r="I126" s="156">
        <f t="shared" si="26"/>
        <v>644.02649398590756</v>
      </c>
      <c r="J126" s="157">
        <f t="shared" si="17"/>
        <v>3.8818278802901305</v>
      </c>
      <c r="K126" s="173">
        <v>73</v>
      </c>
      <c r="L126" s="173">
        <f t="shared" si="18"/>
        <v>18.805573624388501</v>
      </c>
      <c r="M126" s="66">
        <f t="shared" si="25"/>
        <v>0</v>
      </c>
      <c r="N126" s="171">
        <f t="shared" si="24"/>
        <v>18.805573624388501</v>
      </c>
    </row>
    <row r="127" spans="1:14" x14ac:dyDescent="0.2">
      <c r="A127" s="60"/>
      <c r="B127" s="12"/>
      <c r="C127" s="237"/>
      <c r="D127" s="120" t="s">
        <v>116</v>
      </c>
      <c r="E127" s="65">
        <v>25</v>
      </c>
      <c r="F127" s="126">
        <v>3</v>
      </c>
      <c r="G127" s="127">
        <f>($C$122+E127+E127+4)*PI()+($C$122+E127+E127+8)*PI()+($C$122+E127+E127+12)*PI()</f>
        <v>2045.1768174869553</v>
      </c>
      <c r="H127" s="72">
        <f t="shared" si="23"/>
        <v>4.8895527831611476</v>
      </c>
      <c r="I127" s="156">
        <f t="shared" si="26"/>
        <v>694.29197644334431</v>
      </c>
      <c r="J127" s="157">
        <f t="shared" si="17"/>
        <v>3.6007905676899399</v>
      </c>
      <c r="K127" s="173">
        <v>73</v>
      </c>
      <c r="L127" s="173">
        <f t="shared" si="18"/>
        <v>20.273325712145652</v>
      </c>
      <c r="M127" s="66">
        <f t="shared" si="25"/>
        <v>0</v>
      </c>
      <c r="N127" s="171">
        <f t="shared" si="24"/>
        <v>20.273325712145652</v>
      </c>
    </row>
    <row r="128" spans="1:14" x14ac:dyDescent="0.2">
      <c r="A128" s="60"/>
      <c r="B128" s="12"/>
      <c r="C128" s="237"/>
      <c r="D128" s="120" t="s">
        <v>116</v>
      </c>
      <c r="E128" s="65">
        <v>32</v>
      </c>
      <c r="F128" s="126">
        <v>3</v>
      </c>
      <c r="G128" s="127">
        <f>($C$122+E128+E128+4)*PI()+($C$122+E128+E128+8)*PI()+($C$122+E128+E128+12)*PI()</f>
        <v>2177.1237089377264</v>
      </c>
      <c r="H128" s="72">
        <f t="shared" si="23"/>
        <v>4.5932162508483509</v>
      </c>
      <c r="I128" s="156">
        <f t="shared" si="26"/>
        <v>738.27427359360138</v>
      </c>
      <c r="J128" s="157">
        <f t="shared" si="17"/>
        <v>3.3862753849339433</v>
      </c>
      <c r="K128" s="173">
        <v>73</v>
      </c>
      <c r="L128" s="173">
        <f t="shared" si="18"/>
        <v>21.557608788933162</v>
      </c>
      <c r="M128" s="66">
        <f t="shared" si="25"/>
        <v>0</v>
      </c>
      <c r="N128" s="171">
        <f t="shared" si="24"/>
        <v>21.557608788933162</v>
      </c>
    </row>
    <row r="129" spans="1:15" x14ac:dyDescent="0.2">
      <c r="A129" s="60"/>
      <c r="B129" s="12"/>
      <c r="C129" s="237"/>
      <c r="D129" s="120" t="s">
        <v>116</v>
      </c>
      <c r="E129" s="65">
        <v>40</v>
      </c>
      <c r="F129" s="126">
        <v>4</v>
      </c>
      <c r="G129" s="127">
        <f>($C$122+E129+E129+4)*PI()+($C$122+E129+E129+8)*PI()+($C$122+E129+E129+12)*PI()+($C$122+E129+E129+16)*PI()</f>
        <v>3129.0262829754342</v>
      </c>
      <c r="H129" s="72">
        <f t="shared" si="23"/>
        <v>3.1958823914035208</v>
      </c>
      <c r="I129" s="156">
        <f t="shared" si="26"/>
        <v>801.10612666539726</v>
      </c>
      <c r="J129" s="157">
        <f t="shared" si="17"/>
        <v>3.1206851586646147</v>
      </c>
      <c r="K129" s="173">
        <v>73</v>
      </c>
      <c r="L129" s="173">
        <f t="shared" si="18"/>
        <v>23.392298898629598</v>
      </c>
      <c r="M129" s="66">
        <f t="shared" si="25"/>
        <v>0</v>
      </c>
      <c r="N129" s="171">
        <f t="shared" si="24"/>
        <v>23.392298898629598</v>
      </c>
    </row>
    <row r="130" spans="1:15" x14ac:dyDescent="0.2">
      <c r="A130" s="60"/>
      <c r="B130" s="12"/>
      <c r="C130" s="237"/>
      <c r="D130" s="120" t="s">
        <v>116</v>
      </c>
      <c r="E130" s="65">
        <v>50</v>
      </c>
      <c r="F130" s="126">
        <v>4</v>
      </c>
      <c r="G130" s="127">
        <f>($C$122+E130+E130+4)*PI()+($C$122+E130+E130+8)*PI()+($C$122+E130+E130+12)*PI()+($C$122+E130+E130+16)*PI()</f>
        <v>3380.3536952626173</v>
      </c>
      <c r="H130" s="72">
        <f t="shared" si="23"/>
        <v>2.9582703176932221</v>
      </c>
      <c r="I130" s="156">
        <f t="shared" si="26"/>
        <v>863.93797973719313</v>
      </c>
      <c r="J130" s="157">
        <f t="shared" si="17"/>
        <v>2.8937262380344606</v>
      </c>
      <c r="K130" s="173">
        <v>73</v>
      </c>
      <c r="L130" s="173">
        <f t="shared" si="18"/>
        <v>25.22698900832604</v>
      </c>
      <c r="M130" s="66">
        <f t="shared" si="25"/>
        <v>0</v>
      </c>
      <c r="N130" s="171">
        <f t="shared" si="24"/>
        <v>25.22698900832604</v>
      </c>
    </row>
    <row r="131" spans="1:15" x14ac:dyDescent="0.2">
      <c r="A131" s="60"/>
      <c r="B131" s="12"/>
      <c r="C131" s="237">
        <v>168.3</v>
      </c>
      <c r="D131" s="120" t="s">
        <v>116</v>
      </c>
      <c r="E131" s="65">
        <v>9</v>
      </c>
      <c r="F131" s="126">
        <v>1</v>
      </c>
      <c r="G131" s="127">
        <f>($C$131+E131+E131+4)*PI()</f>
        <v>597.84508197813761</v>
      </c>
      <c r="H131" s="72">
        <f t="shared" si="23"/>
        <v>16.726741260314803</v>
      </c>
      <c r="I131" s="156">
        <f>($C$131+(E131*2)+(F131*2*2))*PI()</f>
        <v>597.84508197813761</v>
      </c>
      <c r="J131" s="157">
        <f t="shared" si="17"/>
        <v>4.1816853150787008</v>
      </c>
      <c r="K131" s="173">
        <v>73</v>
      </c>
      <c r="L131" s="173">
        <f t="shared" si="18"/>
        <v>17.457076393761618</v>
      </c>
      <c r="M131" s="66">
        <f t="shared" si="25"/>
        <v>0</v>
      </c>
      <c r="N131" s="171">
        <f t="shared" si="24"/>
        <v>17.457076393761618</v>
      </c>
    </row>
    <row r="132" spans="1:15" x14ac:dyDescent="0.2">
      <c r="A132" s="60"/>
      <c r="B132" s="12"/>
      <c r="C132" s="237"/>
      <c r="D132" s="120" t="s">
        <v>116</v>
      </c>
      <c r="E132" s="65">
        <v>10</v>
      </c>
      <c r="F132" s="126">
        <v>2</v>
      </c>
      <c r="G132" s="127">
        <f>($C$131+E132+E132+4)*PI()+($C$131+E132+E132+8)*PI()</f>
        <v>1220.8229051849937</v>
      </c>
      <c r="H132" s="72">
        <f t="shared" si="23"/>
        <v>8.1911962476528739</v>
      </c>
      <c r="I132" s="156">
        <f t="shared" ref="I132:I139" si="27">($C$131+(E132*2)+(F132*2*2))*PI()</f>
        <v>616.69463789967642</v>
      </c>
      <c r="J132" s="157">
        <f t="shared" si="17"/>
        <v>4.0538701755449651</v>
      </c>
      <c r="K132" s="173">
        <v>73</v>
      </c>
      <c r="L132" s="173">
        <f t="shared" si="18"/>
        <v>18.007483426670554</v>
      </c>
      <c r="M132" s="66">
        <f t="shared" si="25"/>
        <v>0</v>
      </c>
      <c r="N132" s="171">
        <f t="shared" si="24"/>
        <v>18.007483426670554</v>
      </c>
    </row>
    <row r="133" spans="1:15" x14ac:dyDescent="0.2">
      <c r="A133" s="60"/>
      <c r="B133" s="12"/>
      <c r="C133" s="237"/>
      <c r="D133" s="120" t="s">
        <v>116</v>
      </c>
      <c r="E133" s="65">
        <v>13</v>
      </c>
      <c r="F133" s="126">
        <v>2</v>
      </c>
      <c r="G133" s="127">
        <f>($C$131+E133+E133+4)*PI()+($C$131+E133+E133+8)*PI()</f>
        <v>1258.5220170280713</v>
      </c>
      <c r="H133" s="72">
        <f t="shared" si="23"/>
        <v>7.9458284119768008</v>
      </c>
      <c r="I133" s="156">
        <f t="shared" si="27"/>
        <v>635.54419382121523</v>
      </c>
      <c r="J133" s="157">
        <f t="shared" si="17"/>
        <v>3.9336367546192617</v>
      </c>
      <c r="K133" s="173">
        <v>73</v>
      </c>
      <c r="L133" s="173">
        <f t="shared" si="18"/>
        <v>18.557890459579482</v>
      </c>
      <c r="M133" s="66">
        <f t="shared" si="25"/>
        <v>0</v>
      </c>
      <c r="N133" s="171">
        <f t="shared" si="24"/>
        <v>18.557890459579482</v>
      </c>
    </row>
    <row r="134" spans="1:15" x14ac:dyDescent="0.2">
      <c r="A134" s="60"/>
      <c r="B134" s="12"/>
      <c r="C134" s="237"/>
      <c r="D134" s="120" t="s">
        <v>116</v>
      </c>
      <c r="E134" s="65">
        <v>16</v>
      </c>
      <c r="F134" s="126">
        <v>2</v>
      </c>
      <c r="G134" s="127">
        <f>($C$131+E134+E134+4)*PI()+($C$131+E134+E134+8)*PI()</f>
        <v>1296.2211288711487</v>
      </c>
      <c r="H134" s="72">
        <f t="shared" si="23"/>
        <v>7.7147330631068991</v>
      </c>
      <c r="I134" s="156">
        <f t="shared" si="27"/>
        <v>654.39374974275393</v>
      </c>
      <c r="J134" s="157">
        <f t="shared" si="17"/>
        <v>3.8203298869874063</v>
      </c>
      <c r="K134" s="173">
        <v>73</v>
      </c>
      <c r="L134" s="173">
        <f t="shared" si="18"/>
        <v>19.108297492488415</v>
      </c>
      <c r="M134" s="66">
        <f t="shared" si="25"/>
        <v>0</v>
      </c>
      <c r="N134" s="171">
        <f t="shared" si="24"/>
        <v>19.108297492488415</v>
      </c>
    </row>
    <row r="135" spans="1:15" x14ac:dyDescent="0.2">
      <c r="A135" s="60"/>
      <c r="B135" s="12"/>
      <c r="C135" s="237"/>
      <c r="D135" s="120" t="s">
        <v>116</v>
      </c>
      <c r="E135" s="65">
        <v>19</v>
      </c>
      <c r="F135" s="126">
        <v>2</v>
      </c>
      <c r="G135" s="127">
        <f>($C$131+E135+E135+4)*PI()+($C$131+E135+E135+8)*PI()</f>
        <v>1333.9202407142261</v>
      </c>
      <c r="H135" s="72">
        <f t="shared" si="23"/>
        <v>7.4967000985348724</v>
      </c>
      <c r="I135" s="156">
        <f t="shared" si="27"/>
        <v>673.24330566429273</v>
      </c>
      <c r="J135" s="157">
        <f t="shared" si="17"/>
        <v>3.7133677809588268</v>
      </c>
      <c r="K135" s="173">
        <v>73</v>
      </c>
      <c r="L135" s="173">
        <f t="shared" si="18"/>
        <v>19.658704525397351</v>
      </c>
      <c r="M135" s="66">
        <f t="shared" si="25"/>
        <v>0</v>
      </c>
      <c r="N135" s="171">
        <f t="shared" si="24"/>
        <v>19.658704525397351</v>
      </c>
    </row>
    <row r="136" spans="1:15" x14ac:dyDescent="0.2">
      <c r="A136" s="60"/>
      <c r="B136" s="12"/>
      <c r="C136" s="237"/>
      <c r="D136" s="120" t="s">
        <v>116</v>
      </c>
      <c r="E136" s="65">
        <v>25</v>
      </c>
      <c r="F136" s="126">
        <v>3</v>
      </c>
      <c r="G136" s="127">
        <f>($C$131+E136+E136+4)*PI()+($C$131+E136+E136+8)*PI()+($C$131+E136+E136+12)*PI()</f>
        <v>2132.8272525221109</v>
      </c>
      <c r="H136" s="72">
        <f t="shared" si="23"/>
        <v>4.6886122578257563</v>
      </c>
      <c r="I136" s="156">
        <f t="shared" si="27"/>
        <v>723.50878812172937</v>
      </c>
      <c r="J136" s="157">
        <f t="shared" si="17"/>
        <v>3.4553830458509625</v>
      </c>
      <c r="K136" s="173">
        <v>73</v>
      </c>
      <c r="L136" s="173">
        <f t="shared" si="18"/>
        <v>21.126456613154499</v>
      </c>
      <c r="M136" s="66">
        <f t="shared" si="25"/>
        <v>0</v>
      </c>
      <c r="N136" s="171">
        <f t="shared" si="24"/>
        <v>21.126456613154499</v>
      </c>
    </row>
    <row r="137" spans="1:15" x14ac:dyDescent="0.2">
      <c r="A137" s="60"/>
      <c r="B137" s="12"/>
      <c r="C137" s="237"/>
      <c r="D137" s="120" t="s">
        <v>116</v>
      </c>
      <c r="E137" s="65">
        <v>32</v>
      </c>
      <c r="F137" s="126">
        <v>3</v>
      </c>
      <c r="G137" s="127">
        <f>($C$131+E137+E137+4)*PI()+($C$131+E137+E137+8)*PI()+($C$131+E137+E137+12)*PI()</f>
        <v>2264.774143972882</v>
      </c>
      <c r="H137" s="72">
        <f t="shared" si="23"/>
        <v>4.4154513272824341</v>
      </c>
      <c r="I137" s="156">
        <f t="shared" si="27"/>
        <v>767.49108527198655</v>
      </c>
      <c r="J137" s="157">
        <f t="shared" si="17"/>
        <v>3.257366825458357</v>
      </c>
      <c r="K137" s="173">
        <v>73</v>
      </c>
      <c r="L137" s="173">
        <f t="shared" si="18"/>
        <v>22.410739689942009</v>
      </c>
      <c r="M137" s="66">
        <f t="shared" si="25"/>
        <v>0</v>
      </c>
      <c r="N137" s="171">
        <f t="shared" si="24"/>
        <v>22.410739689942009</v>
      </c>
    </row>
    <row r="138" spans="1:15" x14ac:dyDescent="0.2">
      <c r="A138" s="60"/>
      <c r="B138" s="12"/>
      <c r="C138" s="237"/>
      <c r="D138" s="120" t="s">
        <v>116</v>
      </c>
      <c r="E138" s="65">
        <v>40</v>
      </c>
      <c r="F138" s="126">
        <v>4</v>
      </c>
      <c r="G138" s="127">
        <f>($C$131+E138+E138+4)*PI()+($C$131+E138+E138+8)*PI()+($C$131+E138+E138+12)*PI()+($C$131+E138+E138+16)*PI()</f>
        <v>3245.8935296889745</v>
      </c>
      <c r="H138" s="72">
        <f t="shared" si="23"/>
        <v>3.0808157780080396</v>
      </c>
      <c r="I138" s="156">
        <f t="shared" si="27"/>
        <v>830.32293834378231</v>
      </c>
      <c r="J138" s="157">
        <f t="shared" si="17"/>
        <v>3.0108767138080843</v>
      </c>
      <c r="K138" s="173">
        <v>73</v>
      </c>
      <c r="L138" s="173">
        <f t="shared" si="18"/>
        <v>24.245429799638444</v>
      </c>
      <c r="M138" s="66">
        <f t="shared" si="25"/>
        <v>0</v>
      </c>
      <c r="N138" s="171">
        <f t="shared" si="24"/>
        <v>24.245429799638444</v>
      </c>
    </row>
    <row r="139" spans="1:15" x14ac:dyDescent="0.2">
      <c r="A139" s="60"/>
      <c r="B139" s="12"/>
      <c r="C139" s="237"/>
      <c r="D139" s="120" t="s">
        <v>116</v>
      </c>
      <c r="E139" s="65">
        <v>50</v>
      </c>
      <c r="F139" s="126">
        <v>4</v>
      </c>
      <c r="G139" s="127">
        <f>($C$131+E139+E139+4)*PI()+($C$131+E139+E139+8)*PI()+($C$131+E139+E139+12)*PI()+($C$131+E139+E139+16)*PI()</f>
        <v>3497.2209419761575</v>
      </c>
      <c r="H139" s="72">
        <f t="shared" si="23"/>
        <v>2.8594132786901789</v>
      </c>
      <c r="I139" s="156">
        <f t="shared" si="27"/>
        <v>893.15479141557819</v>
      </c>
      <c r="J139" s="157">
        <f t="shared" si="17"/>
        <v>2.7990668851898581</v>
      </c>
      <c r="K139" s="173">
        <v>73</v>
      </c>
      <c r="L139" s="173">
        <f t="shared" si="18"/>
        <v>26.080119909334883</v>
      </c>
      <c r="M139" s="66">
        <f t="shared" si="25"/>
        <v>0</v>
      </c>
      <c r="N139" s="171">
        <f t="shared" si="24"/>
        <v>26.080119909334883</v>
      </c>
    </row>
    <row r="140" spans="1:15" x14ac:dyDescent="0.2">
      <c r="A140" s="60"/>
      <c r="B140" s="12"/>
      <c r="C140" s="113">
        <v>219</v>
      </c>
      <c r="D140" s="120" t="s">
        <v>116</v>
      </c>
      <c r="E140" s="65">
        <v>50</v>
      </c>
      <c r="F140" s="126">
        <v>4</v>
      </c>
      <c r="G140" s="127">
        <f>($C$140+E140+E140+4)*PI()+($C$140+E140+E140+8)*PI()+($C$140+E140+E140+12)*PI()+($C$140+E140+E140+16)*PI()</f>
        <v>4134.3359321241678</v>
      </c>
      <c r="H140" s="72">
        <f t="shared" si="23"/>
        <v>2.418768132095674</v>
      </c>
      <c r="I140" s="156">
        <f>($C$140+(E140*2)+(F140*2*2))*PI()</f>
        <v>1052.4335389525806</v>
      </c>
      <c r="J140" s="157">
        <f t="shared" si="17"/>
        <v>2.3754469118193335</v>
      </c>
      <c r="K140" s="173">
        <v>73</v>
      </c>
      <c r="L140" s="173">
        <f t="shared" si="18"/>
        <v>30.731059337415356</v>
      </c>
      <c r="M140" s="66">
        <f t="shared" si="25"/>
        <v>0</v>
      </c>
      <c r="N140" s="171">
        <f t="shared" si="24"/>
        <v>30.731059337415356</v>
      </c>
    </row>
    <row r="142" spans="1:15" ht="26.25" customHeight="1" x14ac:dyDescent="0.2">
      <c r="A142" s="60"/>
      <c r="B142" s="227" t="s">
        <v>132</v>
      </c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  <c r="M142" s="227"/>
      <c r="N142" s="227"/>
      <c r="O142" s="60"/>
    </row>
    <row r="143" spans="1:15" ht="43.5" customHeight="1" x14ac:dyDescent="0.2">
      <c r="A143" s="60"/>
      <c r="B143" s="155" t="s">
        <v>99</v>
      </c>
      <c r="C143" s="155" t="s">
        <v>100</v>
      </c>
      <c r="D143" s="155" t="s">
        <v>115</v>
      </c>
      <c r="E143" s="155" t="s">
        <v>101</v>
      </c>
      <c r="F143" s="155" t="s">
        <v>102</v>
      </c>
      <c r="G143" s="155" t="s">
        <v>103</v>
      </c>
      <c r="H143" s="155" t="s">
        <v>130</v>
      </c>
      <c r="I143" s="155" t="s">
        <v>131</v>
      </c>
      <c r="J143" s="155" t="s">
        <v>130</v>
      </c>
      <c r="K143" s="155" t="s">
        <v>105</v>
      </c>
      <c r="L143" s="155" t="s">
        <v>106</v>
      </c>
      <c r="M143" s="155" t="s">
        <v>95</v>
      </c>
      <c r="N143" s="155" t="s">
        <v>107</v>
      </c>
    </row>
    <row r="144" spans="1:15" x14ac:dyDescent="0.2">
      <c r="A144" s="60"/>
      <c r="B144" s="11"/>
      <c r="C144" s="255">
        <v>6.35</v>
      </c>
      <c r="D144" s="120" t="s">
        <v>119</v>
      </c>
      <c r="E144" s="65">
        <v>9</v>
      </c>
      <c r="F144" s="126">
        <v>1</v>
      </c>
      <c r="G144" s="127">
        <f>($C$144+E144+E144+4)*PI()</f>
        <v>89.064151729270634</v>
      </c>
      <c r="H144" s="72">
        <f>10000/G144</f>
        <v>112.2786194651819</v>
      </c>
      <c r="I144" s="156">
        <f>($C$144+(E144*2)+(F144*2*2))*PI()</f>
        <v>89.064151729270634</v>
      </c>
      <c r="J144" s="157">
        <f>2500/I144</f>
        <v>28.069654866295476</v>
      </c>
      <c r="K144" s="173">
        <v>73</v>
      </c>
      <c r="L144" s="173">
        <f>K144/J144</f>
        <v>2.6006732304947024</v>
      </c>
      <c r="M144" s="10">
        <v>0</v>
      </c>
      <c r="N144" s="171">
        <f t="shared" ref="N144:N233" si="28">L144*(1-M144)</f>
        <v>2.6006732304947024</v>
      </c>
    </row>
    <row r="145" spans="1:14" x14ac:dyDescent="0.2">
      <c r="A145" s="60"/>
      <c r="B145" s="11"/>
      <c r="C145" s="255"/>
      <c r="D145" s="120" t="s">
        <v>119</v>
      </c>
      <c r="E145" s="65">
        <v>10</v>
      </c>
      <c r="F145" s="126">
        <v>2</v>
      </c>
      <c r="G145" s="127">
        <f>($C$144+E145+E145+4)*PI()+($C$144+E145+E145+8)*PI()</f>
        <v>203.26104468725964</v>
      </c>
      <c r="H145" s="72">
        <f t="shared" ref="H145:H233" si="29">10000/G145</f>
        <v>49.197818575547238</v>
      </c>
      <c r="I145" s="156">
        <f t="shared" ref="I145:I152" si="30">($C$144+(E145*2)+(F145*2*2))*PI()</f>
        <v>107.9137076508094</v>
      </c>
      <c r="J145" s="157">
        <f t="shared" ref="J145:J233" si="31">2500/I145</f>
        <v>23.166658383099758</v>
      </c>
      <c r="K145" s="173">
        <v>73</v>
      </c>
      <c r="L145" s="173">
        <f t="shared" ref="L145:L233" si="32">K145/J145</f>
        <v>3.1510802634036343</v>
      </c>
      <c r="M145" s="66">
        <f t="shared" ref="M145:M233" si="33">$M$144</f>
        <v>0</v>
      </c>
      <c r="N145" s="171">
        <f t="shared" si="28"/>
        <v>3.1510802634036343</v>
      </c>
    </row>
    <row r="146" spans="1:14" x14ac:dyDescent="0.2">
      <c r="A146" s="60"/>
      <c r="B146" s="11"/>
      <c r="C146" s="255"/>
      <c r="D146" s="120" t="s">
        <v>119</v>
      </c>
      <c r="E146" s="65">
        <v>13</v>
      </c>
      <c r="F146" s="126">
        <v>2</v>
      </c>
      <c r="G146" s="127">
        <f>($C$144+E146+E146+4)*PI()+($C$144+E146+E146+8)*PI()</f>
        <v>240.96015653033714</v>
      </c>
      <c r="H146" s="72">
        <f t="shared" si="29"/>
        <v>41.500637051341677</v>
      </c>
      <c r="I146" s="156">
        <f t="shared" si="30"/>
        <v>126.76326357234815</v>
      </c>
      <c r="J146" s="157">
        <f t="shared" si="31"/>
        <v>19.721802117954812</v>
      </c>
      <c r="K146" s="173">
        <v>73</v>
      </c>
      <c r="L146" s="173">
        <f t="shared" si="32"/>
        <v>3.7014872963125662</v>
      </c>
      <c r="M146" s="66">
        <f t="shared" si="33"/>
        <v>0</v>
      </c>
      <c r="N146" s="171">
        <f t="shared" si="28"/>
        <v>3.7014872963125662</v>
      </c>
    </row>
    <row r="147" spans="1:14" x14ac:dyDescent="0.2">
      <c r="A147" s="60"/>
      <c r="B147" s="11"/>
      <c r="C147" s="255"/>
      <c r="D147" s="120" t="s">
        <v>119</v>
      </c>
      <c r="E147" s="65">
        <v>16</v>
      </c>
      <c r="F147" s="126">
        <v>2</v>
      </c>
      <c r="G147" s="127">
        <f>($C$144+E147+E147+4)*PI()+($C$144+E147+E147+8)*PI()</f>
        <v>278.65926837341465</v>
      </c>
      <c r="H147" s="72">
        <f t="shared" si="29"/>
        <v>35.8861202011038</v>
      </c>
      <c r="I147" s="156">
        <f t="shared" si="30"/>
        <v>145.61281949388692</v>
      </c>
      <c r="J147" s="157">
        <f t="shared" si="31"/>
        <v>17.168818025015678</v>
      </c>
      <c r="K147" s="173">
        <v>73</v>
      </c>
      <c r="L147" s="173">
        <f t="shared" si="32"/>
        <v>4.2518943292214981</v>
      </c>
      <c r="M147" s="66">
        <f t="shared" si="33"/>
        <v>0</v>
      </c>
      <c r="N147" s="171">
        <f t="shared" si="28"/>
        <v>4.2518943292214981</v>
      </c>
    </row>
    <row r="148" spans="1:14" x14ac:dyDescent="0.2">
      <c r="A148" s="60"/>
      <c r="B148" s="11"/>
      <c r="C148" s="255"/>
      <c r="D148" s="120" t="s">
        <v>119</v>
      </c>
      <c r="E148" s="65">
        <v>19</v>
      </c>
      <c r="F148" s="126">
        <v>2</v>
      </c>
      <c r="G148" s="127">
        <f>($C$144+E148+E148+4)*PI()+($C$144+E148+E148+8)*PI()</f>
        <v>316.35838021649215</v>
      </c>
      <c r="H148" s="72">
        <f t="shared" si="29"/>
        <v>31.609720574358558</v>
      </c>
      <c r="I148" s="156">
        <f t="shared" si="30"/>
        <v>164.46237541542567</v>
      </c>
      <c r="J148" s="157">
        <f t="shared" si="31"/>
        <v>15.201045185472335</v>
      </c>
      <c r="K148" s="173">
        <v>73</v>
      </c>
      <c r="L148" s="173">
        <f t="shared" si="32"/>
        <v>4.8023013621304296</v>
      </c>
      <c r="M148" s="66">
        <f t="shared" si="33"/>
        <v>0</v>
      </c>
      <c r="N148" s="171">
        <f t="shared" si="28"/>
        <v>4.8023013621304296</v>
      </c>
    </row>
    <row r="149" spans="1:14" x14ac:dyDescent="0.2">
      <c r="A149" s="60"/>
      <c r="B149" s="11"/>
      <c r="C149" s="255"/>
      <c r="D149" s="120" t="s">
        <v>119</v>
      </c>
      <c r="E149" s="65">
        <v>25</v>
      </c>
      <c r="F149" s="126">
        <v>3</v>
      </c>
      <c r="G149" s="127">
        <f>($C$144+E149+E149+4)*PI()+($C$144+E149+E149+8)*PI()+($C$144+E149+E149+12)*PI()</f>
        <v>606.48446177550954</v>
      </c>
      <c r="H149" s="72">
        <f t="shared" si="29"/>
        <v>16.488468592788951</v>
      </c>
      <c r="I149" s="156">
        <f t="shared" si="30"/>
        <v>214.72785787286233</v>
      </c>
      <c r="J149" s="157">
        <f t="shared" si="31"/>
        <v>11.642643971609024</v>
      </c>
      <c r="K149" s="173">
        <v>73</v>
      </c>
      <c r="L149" s="173">
        <f t="shared" si="32"/>
        <v>6.2700534498875804</v>
      </c>
      <c r="M149" s="66">
        <f t="shared" si="33"/>
        <v>0</v>
      </c>
      <c r="N149" s="171">
        <f t="shared" si="28"/>
        <v>6.2700534498875804</v>
      </c>
    </row>
    <row r="150" spans="1:14" x14ac:dyDescent="0.2">
      <c r="A150" s="60"/>
      <c r="B150" s="11"/>
      <c r="C150" s="255"/>
      <c r="D150" s="120" t="s">
        <v>119</v>
      </c>
      <c r="E150" s="65">
        <v>32</v>
      </c>
      <c r="F150" s="126">
        <v>3</v>
      </c>
      <c r="G150" s="127">
        <f>($C$144+E150+E150+4)*PI()+($C$144+E150+E150+8)*PI()+($C$144+E150+E150+12)*PI()</f>
        <v>738.43135322628086</v>
      </c>
      <c r="H150" s="72">
        <f t="shared" si="29"/>
        <v>13.5422202162855</v>
      </c>
      <c r="I150" s="156">
        <f t="shared" si="30"/>
        <v>258.71015502311946</v>
      </c>
      <c r="J150" s="157">
        <f t="shared" si="31"/>
        <v>9.6633238064295899</v>
      </c>
      <c r="K150" s="173">
        <v>73</v>
      </c>
      <c r="L150" s="173">
        <f t="shared" si="32"/>
        <v>7.5543365266750886</v>
      </c>
      <c r="M150" s="66">
        <f t="shared" si="33"/>
        <v>0</v>
      </c>
      <c r="N150" s="171">
        <f t="shared" si="28"/>
        <v>7.5543365266750886</v>
      </c>
    </row>
    <row r="151" spans="1:14" x14ac:dyDescent="0.2">
      <c r="A151" s="60"/>
      <c r="B151" s="11"/>
      <c r="C151" s="255"/>
      <c r="D151" s="120" t="s">
        <v>119</v>
      </c>
      <c r="E151" s="65">
        <v>40</v>
      </c>
      <c r="F151" s="126">
        <v>4</v>
      </c>
      <c r="G151" s="127">
        <f>($C$144+E151+E151+4)*PI()+($C$144+E151+E151+8)*PI()+($C$144+E151+E151+12)*PI()+($C$144+E151+E151+16)*PI()</f>
        <v>1210.7698086935061</v>
      </c>
      <c r="H151" s="72">
        <f t="shared" si="29"/>
        <v>8.2592082559364481</v>
      </c>
      <c r="I151" s="156">
        <f t="shared" si="30"/>
        <v>321.54200809491533</v>
      </c>
      <c r="J151" s="157">
        <f t="shared" si="31"/>
        <v>7.7750338589103736</v>
      </c>
      <c r="K151" s="173">
        <v>73</v>
      </c>
      <c r="L151" s="173">
        <f t="shared" si="32"/>
        <v>9.3890266363715273</v>
      </c>
      <c r="M151" s="66">
        <f t="shared" si="33"/>
        <v>0</v>
      </c>
      <c r="N151" s="171">
        <f t="shared" si="28"/>
        <v>9.3890266363715273</v>
      </c>
    </row>
    <row r="152" spans="1:14" x14ac:dyDescent="0.2">
      <c r="A152" s="60"/>
      <c r="B152" s="11"/>
      <c r="C152" s="255"/>
      <c r="D152" s="120" t="s">
        <v>119</v>
      </c>
      <c r="E152" s="65">
        <v>50</v>
      </c>
      <c r="F152" s="126">
        <v>4</v>
      </c>
      <c r="G152" s="127">
        <f>($C$144+E152+E152+4)*PI()+($C$144+E152+E152+8)*PI()+($C$144+E152+E152+12)*PI()+($C$144+E152+E152+16)*PI()</f>
        <v>1462.0972209806896</v>
      </c>
      <c r="H152" s="72">
        <f t="shared" si="29"/>
        <v>6.8394904637686018</v>
      </c>
      <c r="I152" s="156">
        <f t="shared" si="30"/>
        <v>384.37386116671115</v>
      </c>
      <c r="J152" s="157">
        <f t="shared" si="31"/>
        <v>6.5040843110705087</v>
      </c>
      <c r="K152" s="173">
        <v>73</v>
      </c>
      <c r="L152" s="173">
        <f t="shared" si="32"/>
        <v>11.223716746067966</v>
      </c>
      <c r="M152" s="66">
        <f t="shared" si="33"/>
        <v>0</v>
      </c>
      <c r="N152" s="171">
        <f t="shared" si="28"/>
        <v>11.223716746067966</v>
      </c>
    </row>
    <row r="153" spans="1:14" x14ac:dyDescent="0.2">
      <c r="A153" s="60"/>
      <c r="B153" s="11"/>
      <c r="C153" s="255">
        <v>9.52</v>
      </c>
      <c r="D153" s="120" t="s">
        <v>119</v>
      </c>
      <c r="E153" s="65">
        <v>9</v>
      </c>
      <c r="F153" s="126">
        <v>1</v>
      </c>
      <c r="G153" s="127">
        <f>($C$153+E153+E153+4)*PI()</f>
        <v>99.023000441150273</v>
      </c>
      <c r="H153" s="72">
        <f t="shared" si="29"/>
        <v>100.9866390177001</v>
      </c>
      <c r="I153" s="156">
        <f>($C$207+(E153*2)+(F153*2*2))*PI()</f>
        <v>179.0707812546182</v>
      </c>
      <c r="J153" s="157">
        <f t="shared" si="31"/>
        <v>13.960959920341697</v>
      </c>
      <c r="K153" s="173">
        <v>73</v>
      </c>
      <c r="L153" s="173">
        <f t="shared" si="32"/>
        <v>5.2288668126348519</v>
      </c>
      <c r="M153" s="66">
        <f t="shared" si="33"/>
        <v>0</v>
      </c>
      <c r="N153" s="171">
        <f t="shared" si="28"/>
        <v>5.2288668126348519</v>
      </c>
    </row>
    <row r="154" spans="1:14" x14ac:dyDescent="0.2">
      <c r="A154" s="60"/>
      <c r="B154" s="11"/>
      <c r="C154" s="255"/>
      <c r="D154" s="120" t="s">
        <v>119</v>
      </c>
      <c r="E154" s="65">
        <v>10</v>
      </c>
      <c r="F154" s="126">
        <v>2</v>
      </c>
      <c r="G154" s="127">
        <f>($C$153+E154+E154+4)*PI()+($C$153+E154+E154+8)*PI()</f>
        <v>223.17874211101889</v>
      </c>
      <c r="H154" s="72">
        <f t="shared" si="29"/>
        <v>44.807134879475043</v>
      </c>
      <c r="I154" s="156">
        <f t="shared" ref="I154:I161" si="34">($C$207+(E154*2)+(F154*2*2))*PI()</f>
        <v>197.92033717615698</v>
      </c>
      <c r="J154" s="157">
        <f t="shared" si="31"/>
        <v>12.631344689832963</v>
      </c>
      <c r="K154" s="173">
        <v>73</v>
      </c>
      <c r="L154" s="173">
        <f t="shared" si="32"/>
        <v>5.7792738455437842</v>
      </c>
      <c r="M154" s="66">
        <f t="shared" si="33"/>
        <v>0</v>
      </c>
      <c r="N154" s="171">
        <f t="shared" si="28"/>
        <v>5.7792738455437842</v>
      </c>
    </row>
    <row r="155" spans="1:14" x14ac:dyDescent="0.2">
      <c r="A155" s="60"/>
      <c r="B155" s="11"/>
      <c r="C155" s="255"/>
      <c r="D155" s="120" t="s">
        <v>119</v>
      </c>
      <c r="E155" s="65">
        <v>13</v>
      </c>
      <c r="F155" s="126">
        <v>2</v>
      </c>
      <c r="G155" s="127">
        <f t="shared" ref="G155:G157" si="35">($C$153+E155+E155+4)*PI()+($C$153+E155+E155+8)*PI()</f>
        <v>260.87785395409639</v>
      </c>
      <c r="H155" s="72">
        <f t="shared" si="29"/>
        <v>38.332115388221425</v>
      </c>
      <c r="I155" s="156">
        <f t="shared" si="34"/>
        <v>216.76989309769573</v>
      </c>
      <c r="J155" s="157">
        <f t="shared" si="31"/>
        <v>11.532966890717054</v>
      </c>
      <c r="K155" s="173">
        <v>73</v>
      </c>
      <c r="L155" s="173">
        <f t="shared" si="32"/>
        <v>6.3296808784527148</v>
      </c>
      <c r="M155" s="66">
        <f t="shared" si="33"/>
        <v>0</v>
      </c>
      <c r="N155" s="171">
        <f t="shared" si="28"/>
        <v>6.3296808784527148</v>
      </c>
    </row>
    <row r="156" spans="1:14" x14ac:dyDescent="0.2">
      <c r="A156" s="60"/>
      <c r="B156" s="11"/>
      <c r="C156" s="255"/>
      <c r="D156" s="120" t="s">
        <v>119</v>
      </c>
      <c r="E156" s="65">
        <v>16</v>
      </c>
      <c r="F156" s="126">
        <v>2</v>
      </c>
      <c r="G156" s="127">
        <f t="shared" si="35"/>
        <v>298.5769657971739</v>
      </c>
      <c r="H156" s="72">
        <f t="shared" si="29"/>
        <v>33.492201829102562</v>
      </c>
      <c r="I156" s="156">
        <f t="shared" si="34"/>
        <v>235.61944901923448</v>
      </c>
      <c r="J156" s="157">
        <f t="shared" si="31"/>
        <v>10.610329539459689</v>
      </c>
      <c r="K156" s="173">
        <v>73</v>
      </c>
      <c r="L156" s="173">
        <f t="shared" si="32"/>
        <v>6.8800879113616471</v>
      </c>
      <c r="M156" s="66">
        <f t="shared" si="33"/>
        <v>0</v>
      </c>
      <c r="N156" s="171">
        <f t="shared" si="28"/>
        <v>6.8800879113616471</v>
      </c>
    </row>
    <row r="157" spans="1:14" x14ac:dyDescent="0.2">
      <c r="A157" s="60"/>
      <c r="B157" s="11"/>
      <c r="C157" s="255"/>
      <c r="D157" s="120" t="s">
        <v>119</v>
      </c>
      <c r="E157" s="65">
        <v>19</v>
      </c>
      <c r="F157" s="126">
        <v>2</v>
      </c>
      <c r="G157" s="127">
        <f t="shared" si="35"/>
        <v>336.2760776402514</v>
      </c>
      <c r="H157" s="72">
        <f t="shared" si="29"/>
        <v>29.737470682342185</v>
      </c>
      <c r="I157" s="156">
        <f t="shared" si="34"/>
        <v>254.46900494077323</v>
      </c>
      <c r="J157" s="157">
        <f t="shared" si="31"/>
        <v>9.8243792032034172</v>
      </c>
      <c r="K157" s="173">
        <v>73</v>
      </c>
      <c r="L157" s="173">
        <f t="shared" si="32"/>
        <v>7.4304949442705777</v>
      </c>
      <c r="M157" s="66">
        <f t="shared" si="33"/>
        <v>0</v>
      </c>
      <c r="N157" s="171">
        <f t="shared" si="28"/>
        <v>7.4304949442705777</v>
      </c>
    </row>
    <row r="158" spans="1:14" x14ac:dyDescent="0.2">
      <c r="A158" s="60"/>
      <c r="B158" s="11"/>
      <c r="C158" s="255"/>
      <c r="D158" s="120" t="s">
        <v>119</v>
      </c>
      <c r="E158" s="65">
        <v>25</v>
      </c>
      <c r="F158" s="126">
        <v>3</v>
      </c>
      <c r="G158" s="127">
        <f>($C$153+E158+E158+4)*PI()+($C$153+E158+E158+8)*PI()+($C$153+E158+E158+12)*PI()</f>
        <v>636.36100791114848</v>
      </c>
      <c r="H158" s="72">
        <f t="shared" si="29"/>
        <v>15.714350621237692</v>
      </c>
      <c r="I158" s="156">
        <f t="shared" si="34"/>
        <v>304.73448739820992</v>
      </c>
      <c r="J158" s="157">
        <f t="shared" si="31"/>
        <v>8.2038630459739874</v>
      </c>
      <c r="K158" s="173">
        <v>73</v>
      </c>
      <c r="L158" s="173">
        <f t="shared" si="32"/>
        <v>8.8982470320277294</v>
      </c>
      <c r="M158" s="66">
        <f t="shared" si="33"/>
        <v>0</v>
      </c>
      <c r="N158" s="171">
        <f t="shared" si="28"/>
        <v>8.8982470320277294</v>
      </c>
    </row>
    <row r="159" spans="1:14" x14ac:dyDescent="0.2">
      <c r="A159" s="60"/>
      <c r="B159" s="11"/>
      <c r="C159" s="255"/>
      <c r="D159" s="120" t="s">
        <v>119</v>
      </c>
      <c r="E159" s="65">
        <v>32</v>
      </c>
      <c r="F159" s="126">
        <v>3</v>
      </c>
      <c r="G159" s="127">
        <f>($C$153+E159+E159+4)*PI()+($C$153+E159+E159+8)*PI()+($C$153+E159+E159+12)*PI()</f>
        <v>768.30789936191979</v>
      </c>
      <c r="H159" s="72">
        <f t="shared" si="29"/>
        <v>13.01561523486223</v>
      </c>
      <c r="I159" s="156">
        <f t="shared" si="34"/>
        <v>348.71678454846705</v>
      </c>
      <c r="J159" s="157">
        <f t="shared" si="31"/>
        <v>7.1691415807160066</v>
      </c>
      <c r="K159" s="173">
        <v>73</v>
      </c>
      <c r="L159" s="173">
        <f t="shared" si="32"/>
        <v>10.182530108815238</v>
      </c>
      <c r="M159" s="66">
        <f t="shared" si="33"/>
        <v>0</v>
      </c>
      <c r="N159" s="171">
        <f t="shared" si="28"/>
        <v>10.182530108815238</v>
      </c>
    </row>
    <row r="160" spans="1:14" x14ac:dyDescent="0.2">
      <c r="A160" s="60"/>
      <c r="B160" s="11"/>
      <c r="C160" s="255"/>
      <c r="D160" s="120" t="s">
        <v>119</v>
      </c>
      <c r="E160" s="65">
        <v>40</v>
      </c>
      <c r="F160" s="126">
        <v>4</v>
      </c>
      <c r="G160" s="127">
        <f>($C$153+E160+E160+4)*PI()+($C$153+E160+E160+8)*PI()+($C$153+E160+E160+12)*PI()+($C$153+E160+E160+16)*PI()</f>
        <v>1250.6052035410248</v>
      </c>
      <c r="H160" s="72">
        <f t="shared" si="29"/>
        <v>7.9961285717391153</v>
      </c>
      <c r="I160" s="156">
        <f t="shared" si="34"/>
        <v>411.54863762026292</v>
      </c>
      <c r="J160" s="157">
        <f t="shared" si="31"/>
        <v>6.0746161485456236</v>
      </c>
      <c r="K160" s="173">
        <v>73</v>
      </c>
      <c r="L160" s="173">
        <f t="shared" si="32"/>
        <v>12.017220218511676</v>
      </c>
      <c r="M160" s="66">
        <f t="shared" si="33"/>
        <v>0</v>
      </c>
      <c r="N160" s="171">
        <f t="shared" si="28"/>
        <v>12.017220218511676</v>
      </c>
    </row>
    <row r="161" spans="1:14" x14ac:dyDescent="0.2">
      <c r="A161" s="60"/>
      <c r="B161" s="11"/>
      <c r="C161" s="255"/>
      <c r="D161" s="120" t="s">
        <v>119</v>
      </c>
      <c r="E161" s="65">
        <v>50</v>
      </c>
      <c r="F161" s="126">
        <v>4</v>
      </c>
      <c r="G161" s="127">
        <f>($C$153+E161+E161+4)*PI()+($C$153+E161+E161+8)*PI()+($C$153+E161+E161+12)*PI()+($C$153+E161+E161+16)*PI()</f>
        <v>1501.9326158282083</v>
      </c>
      <c r="H161" s="72">
        <f t="shared" si="29"/>
        <v>6.6580883154240018</v>
      </c>
      <c r="I161" s="156">
        <f t="shared" si="34"/>
        <v>474.38049069205874</v>
      </c>
      <c r="J161" s="157">
        <f t="shared" si="31"/>
        <v>5.2700312282084552</v>
      </c>
      <c r="K161" s="173">
        <v>73</v>
      </c>
      <c r="L161" s="173">
        <f t="shared" si="32"/>
        <v>13.851910328208115</v>
      </c>
      <c r="M161" s="66">
        <f t="shared" si="33"/>
        <v>0</v>
      </c>
      <c r="N161" s="171">
        <f t="shared" si="28"/>
        <v>13.851910328208115</v>
      </c>
    </row>
    <row r="162" spans="1:14" x14ac:dyDescent="0.2">
      <c r="A162" s="60"/>
      <c r="B162" s="11"/>
      <c r="C162" s="255">
        <v>12.7</v>
      </c>
      <c r="D162" s="120" t="s">
        <v>119</v>
      </c>
      <c r="E162" s="65">
        <v>9</v>
      </c>
      <c r="F162" s="126">
        <v>1</v>
      </c>
      <c r="G162" s="127">
        <f>($C$162+E162+E162+4)*PI()</f>
        <v>109.01326507956583</v>
      </c>
      <c r="H162" s="72">
        <f t="shared" ref="H162:H170" si="36">10000/G162</f>
        <v>91.731955672562151</v>
      </c>
      <c r="I162" s="156">
        <f>($C$207+(E162*2)+(F162*2*2))*PI()</f>
        <v>179.0707812546182</v>
      </c>
      <c r="J162" s="157">
        <f t="shared" ref="J162:J170" si="37">2500/I162</f>
        <v>13.960959920341697</v>
      </c>
      <c r="K162" s="173">
        <v>73</v>
      </c>
      <c r="L162" s="173">
        <f t="shared" ref="L162:L170" si="38">K162/J162</f>
        <v>5.2288668126348519</v>
      </c>
      <c r="M162" s="66">
        <f t="shared" si="33"/>
        <v>0</v>
      </c>
      <c r="N162" s="171">
        <f t="shared" ref="N162:N170" si="39">L162*(1-M162)</f>
        <v>5.2288668126348519</v>
      </c>
    </row>
    <row r="163" spans="1:14" x14ac:dyDescent="0.2">
      <c r="A163" s="60"/>
      <c r="B163" s="11"/>
      <c r="C163" s="255"/>
      <c r="D163" s="120" t="s">
        <v>119</v>
      </c>
      <c r="E163" s="65">
        <v>10</v>
      </c>
      <c r="F163" s="126">
        <v>2</v>
      </c>
      <c r="G163" s="127">
        <f>($C$162+E163+E163+4)*PI()+($C$162+E163+E163+8)*PI()</f>
        <v>243.15927138785003</v>
      </c>
      <c r="H163" s="72">
        <f t="shared" si="36"/>
        <v>41.12530829247941</v>
      </c>
      <c r="I163" s="156">
        <f t="shared" ref="I163:I170" si="40">($C$207+(E163*2)+(F163*2*2))*PI()</f>
        <v>197.92033717615698</v>
      </c>
      <c r="J163" s="157">
        <f t="shared" si="37"/>
        <v>12.631344689832963</v>
      </c>
      <c r="K163" s="173">
        <v>73</v>
      </c>
      <c r="L163" s="173">
        <f t="shared" si="38"/>
        <v>5.7792738455437842</v>
      </c>
      <c r="M163" s="66">
        <f t="shared" si="33"/>
        <v>0</v>
      </c>
      <c r="N163" s="171">
        <f t="shared" si="39"/>
        <v>5.7792738455437842</v>
      </c>
    </row>
    <row r="164" spans="1:14" x14ac:dyDescent="0.2">
      <c r="A164" s="60"/>
      <c r="B164" s="11"/>
      <c r="C164" s="255"/>
      <c r="D164" s="120" t="s">
        <v>119</v>
      </c>
      <c r="E164" s="65">
        <v>13</v>
      </c>
      <c r="F164" s="126">
        <v>2</v>
      </c>
      <c r="G164" s="127">
        <f t="shared" ref="G164:G166" si="41">($C$162+E164+E164+4)*PI()+($C$162+E164+E164+8)*PI()</f>
        <v>280.85838323092753</v>
      </c>
      <c r="H164" s="72">
        <f t="shared" si="36"/>
        <v>35.605132682750636</v>
      </c>
      <c r="I164" s="156">
        <f t="shared" si="40"/>
        <v>216.76989309769573</v>
      </c>
      <c r="J164" s="157">
        <f t="shared" si="37"/>
        <v>11.532966890717054</v>
      </c>
      <c r="K164" s="173">
        <v>73</v>
      </c>
      <c r="L164" s="173">
        <f t="shared" si="38"/>
        <v>6.3296808784527148</v>
      </c>
      <c r="M164" s="66">
        <f t="shared" si="33"/>
        <v>0</v>
      </c>
      <c r="N164" s="171">
        <f t="shared" si="39"/>
        <v>6.3296808784527148</v>
      </c>
    </row>
    <row r="165" spans="1:14" x14ac:dyDescent="0.2">
      <c r="A165" s="60"/>
      <c r="B165" s="11"/>
      <c r="C165" s="255"/>
      <c r="D165" s="120" t="s">
        <v>119</v>
      </c>
      <c r="E165" s="65">
        <v>16</v>
      </c>
      <c r="F165" s="126">
        <v>2</v>
      </c>
      <c r="G165" s="127">
        <f t="shared" si="41"/>
        <v>318.55749507400503</v>
      </c>
      <c r="H165" s="72">
        <f t="shared" si="36"/>
        <v>31.391507513194348</v>
      </c>
      <c r="I165" s="156">
        <f t="shared" si="40"/>
        <v>235.61944901923448</v>
      </c>
      <c r="J165" s="157">
        <f t="shared" si="37"/>
        <v>10.610329539459689</v>
      </c>
      <c r="K165" s="173">
        <v>73</v>
      </c>
      <c r="L165" s="173">
        <f t="shared" si="38"/>
        <v>6.8800879113616471</v>
      </c>
      <c r="M165" s="66">
        <f t="shared" si="33"/>
        <v>0</v>
      </c>
      <c r="N165" s="171">
        <f t="shared" si="39"/>
        <v>6.8800879113616471</v>
      </c>
    </row>
    <row r="166" spans="1:14" x14ac:dyDescent="0.2">
      <c r="A166" s="60"/>
      <c r="B166" s="11"/>
      <c r="C166" s="255"/>
      <c r="D166" s="120" t="s">
        <v>119</v>
      </c>
      <c r="E166" s="65">
        <v>19</v>
      </c>
      <c r="F166" s="126">
        <v>2</v>
      </c>
      <c r="G166" s="127">
        <f t="shared" si="41"/>
        <v>356.25660691708254</v>
      </c>
      <c r="H166" s="72">
        <f t="shared" si="36"/>
        <v>28.069654866295476</v>
      </c>
      <c r="I166" s="156">
        <f t="shared" si="40"/>
        <v>254.46900494077323</v>
      </c>
      <c r="J166" s="157">
        <f t="shared" si="37"/>
        <v>9.8243792032034172</v>
      </c>
      <c r="K166" s="173">
        <v>73</v>
      </c>
      <c r="L166" s="173">
        <f t="shared" si="38"/>
        <v>7.4304949442705777</v>
      </c>
      <c r="M166" s="66">
        <f t="shared" si="33"/>
        <v>0</v>
      </c>
      <c r="N166" s="171">
        <f t="shared" si="39"/>
        <v>7.4304949442705777</v>
      </c>
    </row>
    <row r="167" spans="1:14" x14ac:dyDescent="0.2">
      <c r="A167" s="60"/>
      <c r="B167" s="11"/>
      <c r="C167" s="255"/>
      <c r="D167" s="120" t="s">
        <v>119</v>
      </c>
      <c r="E167" s="65">
        <v>25</v>
      </c>
      <c r="F167" s="126">
        <v>3</v>
      </c>
      <c r="G167" s="127">
        <f>($C$162+E167+E167+4)*PI()+($C$162+E167+E167+8)*PI()+($C$162+E167+E167+12)*PI()</f>
        <v>666.33180182639512</v>
      </c>
      <c r="H167" s="72">
        <f t="shared" si="36"/>
        <v>15.007538245346096</v>
      </c>
      <c r="I167" s="156">
        <f t="shared" si="40"/>
        <v>304.73448739820992</v>
      </c>
      <c r="J167" s="157">
        <f t="shared" si="37"/>
        <v>8.2038630459739874</v>
      </c>
      <c r="K167" s="173">
        <v>73</v>
      </c>
      <c r="L167" s="173">
        <f t="shared" si="38"/>
        <v>8.8982470320277294</v>
      </c>
      <c r="M167" s="66">
        <f t="shared" si="33"/>
        <v>0</v>
      </c>
      <c r="N167" s="171">
        <f t="shared" si="39"/>
        <v>8.8982470320277294</v>
      </c>
    </row>
    <row r="168" spans="1:14" x14ac:dyDescent="0.2">
      <c r="A168" s="60"/>
      <c r="B168" s="11"/>
      <c r="C168" s="255"/>
      <c r="D168" s="120" t="s">
        <v>119</v>
      </c>
      <c r="E168" s="65">
        <v>32</v>
      </c>
      <c r="F168" s="126">
        <v>3</v>
      </c>
      <c r="G168" s="127">
        <f>($C$162+E168+E168+4)*PI()+($C$162+E168+E168+8)*PI()+($C$162+E168+E168+12)*PI()</f>
        <v>798.27869327716644</v>
      </c>
      <c r="H168" s="72">
        <f t="shared" si="36"/>
        <v>12.526953411404591</v>
      </c>
      <c r="I168" s="156">
        <f t="shared" si="40"/>
        <v>348.71678454846705</v>
      </c>
      <c r="J168" s="157">
        <f t="shared" si="37"/>
        <v>7.1691415807160066</v>
      </c>
      <c r="K168" s="173">
        <v>73</v>
      </c>
      <c r="L168" s="173">
        <f t="shared" si="38"/>
        <v>10.182530108815238</v>
      </c>
      <c r="M168" s="66">
        <f t="shared" si="33"/>
        <v>0</v>
      </c>
      <c r="N168" s="171">
        <f t="shared" si="39"/>
        <v>10.182530108815238</v>
      </c>
    </row>
    <row r="169" spans="1:14" x14ac:dyDescent="0.2">
      <c r="A169" s="60"/>
      <c r="B169" s="11"/>
      <c r="C169" s="255"/>
      <c r="D169" s="120" t="s">
        <v>119</v>
      </c>
      <c r="E169" s="65">
        <v>40</v>
      </c>
      <c r="F169" s="126">
        <v>4</v>
      </c>
      <c r="G169" s="127">
        <f>($C$162+E169+E169+4)*PI()+($C$162+E169+E169+8)*PI()+($C$162+E169+E169+12)*PI()+($C$162+E169+E169+16)*PI()</f>
        <v>1290.5662620946869</v>
      </c>
      <c r="H169" s="72">
        <f t="shared" si="36"/>
        <v>7.7485366646492384</v>
      </c>
      <c r="I169" s="156">
        <f t="shared" si="40"/>
        <v>411.54863762026292</v>
      </c>
      <c r="J169" s="157">
        <f t="shared" si="37"/>
        <v>6.0746161485456236</v>
      </c>
      <c r="K169" s="173">
        <v>73</v>
      </c>
      <c r="L169" s="173">
        <f t="shared" si="38"/>
        <v>12.017220218511676</v>
      </c>
      <c r="M169" s="66">
        <f t="shared" si="33"/>
        <v>0</v>
      </c>
      <c r="N169" s="171">
        <f t="shared" si="39"/>
        <v>12.017220218511676</v>
      </c>
    </row>
    <row r="170" spans="1:14" x14ac:dyDescent="0.2">
      <c r="A170" s="60"/>
      <c r="B170" s="11"/>
      <c r="C170" s="255"/>
      <c r="D170" s="120" t="s">
        <v>119</v>
      </c>
      <c r="E170" s="65">
        <v>50</v>
      </c>
      <c r="F170" s="126">
        <v>4</v>
      </c>
      <c r="G170" s="127">
        <f>($C$162+E170+E170+4)*PI()+($C$162+E170+E170+8)*PI()+($C$162+E170+E170+12)*PI()+($C$162+E170+E170+16)*PI()</f>
        <v>1541.8936743818704</v>
      </c>
      <c r="H170" s="72">
        <f t="shared" si="36"/>
        <v>6.485531503337219</v>
      </c>
      <c r="I170" s="156">
        <f t="shared" si="40"/>
        <v>474.38049069205874</v>
      </c>
      <c r="J170" s="157">
        <f t="shared" si="37"/>
        <v>5.2700312282084552</v>
      </c>
      <c r="K170" s="173">
        <v>73</v>
      </c>
      <c r="L170" s="173">
        <f t="shared" si="38"/>
        <v>13.851910328208115</v>
      </c>
      <c r="M170" s="66">
        <f t="shared" si="33"/>
        <v>0</v>
      </c>
      <c r="N170" s="171">
        <f t="shared" si="39"/>
        <v>13.851910328208115</v>
      </c>
    </row>
    <row r="171" spans="1:14" x14ac:dyDescent="0.2">
      <c r="A171" s="60"/>
      <c r="B171" s="11"/>
      <c r="C171" s="255">
        <v>15.9</v>
      </c>
      <c r="D171" s="120" t="s">
        <v>119</v>
      </c>
      <c r="E171" s="65">
        <v>9</v>
      </c>
      <c r="F171" s="126">
        <v>1</v>
      </c>
      <c r="G171" s="127">
        <f>($C$171+E171+E171+4)*PI()</f>
        <v>119.06636157105315</v>
      </c>
      <c r="H171" s="72">
        <f t="shared" si="29"/>
        <v>83.986777357200708</v>
      </c>
      <c r="I171" s="156">
        <f>($C$207+(E171*2)+(F171*2*2))*PI()</f>
        <v>179.0707812546182</v>
      </c>
      <c r="J171" s="157">
        <f t="shared" si="31"/>
        <v>13.960959920341697</v>
      </c>
      <c r="K171" s="173">
        <v>73</v>
      </c>
      <c r="L171" s="173">
        <f t="shared" si="32"/>
        <v>5.2288668126348519</v>
      </c>
      <c r="M171" s="66">
        <f t="shared" si="33"/>
        <v>0</v>
      </c>
      <c r="N171" s="171">
        <f t="shared" si="28"/>
        <v>5.2288668126348519</v>
      </c>
    </row>
    <row r="172" spans="1:14" x14ac:dyDescent="0.2">
      <c r="A172" s="60"/>
      <c r="B172" s="11"/>
      <c r="C172" s="255"/>
      <c r="D172" s="120" t="s">
        <v>119</v>
      </c>
      <c r="E172" s="65">
        <v>10</v>
      </c>
      <c r="F172" s="126">
        <v>2</v>
      </c>
      <c r="G172" s="127">
        <f>($C$171+E172+E172+4)*PI()+($C$171+E172+E172+8)*PI()</f>
        <v>263.26546437082465</v>
      </c>
      <c r="H172" s="72">
        <f t="shared" si="29"/>
        <v>37.984473291621804</v>
      </c>
      <c r="I172" s="156">
        <f t="shared" ref="I172:I179" si="42">($C$207+(E172*2)+(F172*2*2))*PI()</f>
        <v>197.92033717615698</v>
      </c>
      <c r="J172" s="157">
        <f t="shared" si="31"/>
        <v>12.631344689832963</v>
      </c>
      <c r="K172" s="173">
        <v>73</v>
      </c>
      <c r="L172" s="173">
        <f t="shared" si="32"/>
        <v>5.7792738455437842</v>
      </c>
      <c r="M172" s="66">
        <f t="shared" si="33"/>
        <v>0</v>
      </c>
      <c r="N172" s="171">
        <f t="shared" si="28"/>
        <v>5.7792738455437842</v>
      </c>
    </row>
    <row r="173" spans="1:14" x14ac:dyDescent="0.2">
      <c r="A173" s="60"/>
      <c r="B173" s="11"/>
      <c r="C173" s="255"/>
      <c r="D173" s="120" t="s">
        <v>119</v>
      </c>
      <c r="E173" s="65">
        <v>13</v>
      </c>
      <c r="F173" s="126">
        <v>2</v>
      </c>
      <c r="G173" s="127">
        <f t="shared" ref="G173:G175" si="43">($C$171+E173+E173+4)*PI()+($C$171+E173+E173+8)*PI()</f>
        <v>300.96457621390221</v>
      </c>
      <c r="H173" s="72">
        <f t="shared" si="29"/>
        <v>33.226501689330966</v>
      </c>
      <c r="I173" s="156">
        <f t="shared" si="42"/>
        <v>216.76989309769573</v>
      </c>
      <c r="J173" s="157">
        <f t="shared" si="31"/>
        <v>11.532966890717054</v>
      </c>
      <c r="K173" s="173">
        <v>73</v>
      </c>
      <c r="L173" s="173">
        <f t="shared" si="32"/>
        <v>6.3296808784527148</v>
      </c>
      <c r="M173" s="66">
        <f t="shared" si="33"/>
        <v>0</v>
      </c>
      <c r="N173" s="171">
        <f t="shared" si="28"/>
        <v>6.3296808784527148</v>
      </c>
    </row>
    <row r="174" spans="1:14" x14ac:dyDescent="0.2">
      <c r="A174" s="60"/>
      <c r="B174" s="11"/>
      <c r="C174" s="255"/>
      <c r="D174" s="120" t="s">
        <v>119</v>
      </c>
      <c r="E174" s="65">
        <v>16</v>
      </c>
      <c r="F174" s="126">
        <v>2</v>
      </c>
      <c r="G174" s="127">
        <f t="shared" si="43"/>
        <v>338.66368805697971</v>
      </c>
      <c r="H174" s="72">
        <f t="shared" si="29"/>
        <v>29.52781875545368</v>
      </c>
      <c r="I174" s="156">
        <f t="shared" si="42"/>
        <v>235.61944901923448</v>
      </c>
      <c r="J174" s="157">
        <f t="shared" si="31"/>
        <v>10.610329539459689</v>
      </c>
      <c r="K174" s="173">
        <v>73</v>
      </c>
      <c r="L174" s="173">
        <f t="shared" si="32"/>
        <v>6.8800879113616471</v>
      </c>
      <c r="M174" s="66">
        <f t="shared" si="33"/>
        <v>0</v>
      </c>
      <c r="N174" s="171">
        <f t="shared" si="28"/>
        <v>6.8800879113616471</v>
      </c>
    </row>
    <row r="175" spans="1:14" x14ac:dyDescent="0.2">
      <c r="A175" s="60"/>
      <c r="B175" s="11"/>
      <c r="C175" s="255"/>
      <c r="D175" s="120" t="s">
        <v>119</v>
      </c>
      <c r="E175" s="65">
        <v>19</v>
      </c>
      <c r="F175" s="126">
        <v>2</v>
      </c>
      <c r="G175" s="127">
        <f t="shared" si="43"/>
        <v>376.36279990005721</v>
      </c>
      <c r="H175" s="72">
        <f t="shared" si="29"/>
        <v>26.570107360917419</v>
      </c>
      <c r="I175" s="156">
        <f t="shared" si="42"/>
        <v>254.46900494077323</v>
      </c>
      <c r="J175" s="157">
        <f t="shared" si="31"/>
        <v>9.8243792032034172</v>
      </c>
      <c r="K175" s="173">
        <v>73</v>
      </c>
      <c r="L175" s="173">
        <f t="shared" si="32"/>
        <v>7.4304949442705777</v>
      </c>
      <c r="M175" s="66">
        <f t="shared" si="33"/>
        <v>0</v>
      </c>
      <c r="N175" s="171">
        <f t="shared" si="28"/>
        <v>7.4304949442705777</v>
      </c>
    </row>
    <row r="176" spans="1:14" x14ac:dyDescent="0.2">
      <c r="A176" s="60"/>
      <c r="B176" s="11"/>
      <c r="C176" s="255"/>
      <c r="D176" s="120" t="s">
        <v>119</v>
      </c>
      <c r="E176" s="65">
        <v>25</v>
      </c>
      <c r="F176" s="126">
        <v>3</v>
      </c>
      <c r="G176" s="127">
        <f>($C$171+E176+E176+4)*PI()+($C$171+E176+E176+8)*PI()+($C$171+E176+E176+12)*PI()</f>
        <v>696.49109130085719</v>
      </c>
      <c r="H176" s="72">
        <f t="shared" si="29"/>
        <v>14.357685439052352</v>
      </c>
      <c r="I176" s="156">
        <f t="shared" si="42"/>
        <v>304.73448739820992</v>
      </c>
      <c r="J176" s="157">
        <f t="shared" si="31"/>
        <v>8.2038630459739874</v>
      </c>
      <c r="K176" s="173">
        <v>73</v>
      </c>
      <c r="L176" s="173">
        <f t="shared" si="32"/>
        <v>8.8982470320277294</v>
      </c>
      <c r="M176" s="66">
        <f t="shared" si="33"/>
        <v>0</v>
      </c>
      <c r="N176" s="171">
        <f t="shared" si="28"/>
        <v>8.8982470320277294</v>
      </c>
    </row>
    <row r="177" spans="1:14" x14ac:dyDescent="0.2">
      <c r="A177" s="60"/>
      <c r="B177" s="11"/>
      <c r="C177" s="255"/>
      <c r="D177" s="120" t="s">
        <v>119</v>
      </c>
      <c r="E177" s="65">
        <v>32</v>
      </c>
      <c r="F177" s="126">
        <v>3</v>
      </c>
      <c r="G177" s="127">
        <f>($C$171+E177+E177+4)*PI()+($C$171+E177+E177+8)*PI()+($C$171+E177+E177+12)*PI()</f>
        <v>828.4379827516284</v>
      </c>
      <c r="H177" s="72">
        <f t="shared" si="29"/>
        <v>12.070909601205564</v>
      </c>
      <c r="I177" s="156">
        <f t="shared" si="42"/>
        <v>348.71678454846705</v>
      </c>
      <c r="J177" s="157">
        <f t="shared" si="31"/>
        <v>7.1691415807160066</v>
      </c>
      <c r="K177" s="173">
        <v>73</v>
      </c>
      <c r="L177" s="173">
        <f t="shared" si="32"/>
        <v>10.182530108815238</v>
      </c>
      <c r="M177" s="66">
        <f t="shared" si="33"/>
        <v>0</v>
      </c>
      <c r="N177" s="171">
        <f t="shared" si="28"/>
        <v>10.182530108815238</v>
      </c>
    </row>
    <row r="178" spans="1:14" x14ac:dyDescent="0.2">
      <c r="A178" s="60"/>
      <c r="B178" s="11"/>
      <c r="C178" s="255"/>
      <c r="D178" s="120" t="s">
        <v>119</v>
      </c>
      <c r="E178" s="65">
        <v>40</v>
      </c>
      <c r="F178" s="126">
        <v>4</v>
      </c>
      <c r="G178" s="127">
        <f>($C$171+E178+E178+4)*PI()+($C$171+E178+E178+8)*PI()+($C$171+E178+E178+12)*PI()+($C$171+E178+E178+16)*PI()</f>
        <v>1330.7786480606364</v>
      </c>
      <c r="H178" s="72">
        <f t="shared" si="29"/>
        <v>7.5143976908354739</v>
      </c>
      <c r="I178" s="156">
        <f t="shared" si="42"/>
        <v>411.54863762026292</v>
      </c>
      <c r="J178" s="157">
        <f t="shared" si="31"/>
        <v>6.0746161485456236</v>
      </c>
      <c r="K178" s="173">
        <v>73</v>
      </c>
      <c r="L178" s="173">
        <f t="shared" si="32"/>
        <v>12.017220218511676</v>
      </c>
      <c r="M178" s="66">
        <f t="shared" si="33"/>
        <v>0</v>
      </c>
      <c r="N178" s="171">
        <f t="shared" si="28"/>
        <v>12.017220218511676</v>
      </c>
    </row>
    <row r="179" spans="1:14" x14ac:dyDescent="0.2">
      <c r="A179" s="60"/>
      <c r="B179" s="11"/>
      <c r="C179" s="255"/>
      <c r="D179" s="120" t="s">
        <v>119</v>
      </c>
      <c r="E179" s="65">
        <v>50</v>
      </c>
      <c r="F179" s="126">
        <v>4</v>
      </c>
      <c r="G179" s="127">
        <f>($C$171+E179+E179+4)*PI()+($C$171+E179+E179+8)*PI()+($C$171+E179+E179+12)*PI()+($C$171+E179+E179+16)*PI()</f>
        <v>1582.1060603478197</v>
      </c>
      <c r="H179" s="72">
        <f t="shared" si="29"/>
        <v>6.3206887645709031</v>
      </c>
      <c r="I179" s="156">
        <f t="shared" si="42"/>
        <v>474.38049069205874</v>
      </c>
      <c r="J179" s="157">
        <f t="shared" si="31"/>
        <v>5.2700312282084552</v>
      </c>
      <c r="K179" s="173">
        <v>73</v>
      </c>
      <c r="L179" s="173">
        <f t="shared" si="32"/>
        <v>13.851910328208115</v>
      </c>
      <c r="M179" s="66">
        <f t="shared" si="33"/>
        <v>0</v>
      </c>
      <c r="N179" s="171">
        <f t="shared" si="28"/>
        <v>13.851910328208115</v>
      </c>
    </row>
    <row r="180" spans="1:14" x14ac:dyDescent="0.2">
      <c r="A180" s="60"/>
      <c r="B180" s="11"/>
      <c r="C180" s="255">
        <v>19.05</v>
      </c>
      <c r="D180" s="120" t="s">
        <v>119</v>
      </c>
      <c r="E180" s="65">
        <v>9</v>
      </c>
      <c r="F180" s="126">
        <v>1</v>
      </c>
      <c r="G180" s="127">
        <f>($C$180+E180+E180+4)*PI()</f>
        <v>128.96237842986099</v>
      </c>
      <c r="H180" s="72">
        <f t="shared" ref="H180:H188" si="44">10000/G180</f>
        <v>77.541994198243785</v>
      </c>
      <c r="I180" s="156">
        <f>($C$207+(E180*2)+(F180*2*2))*PI()</f>
        <v>179.0707812546182</v>
      </c>
      <c r="J180" s="157">
        <f t="shared" ref="J180:J188" si="45">2500/I180</f>
        <v>13.960959920341697</v>
      </c>
      <c r="K180" s="173">
        <v>73</v>
      </c>
      <c r="L180" s="173">
        <f t="shared" ref="L180:L188" si="46">K180/J180</f>
        <v>5.2288668126348519</v>
      </c>
      <c r="M180" s="66">
        <f t="shared" si="33"/>
        <v>0</v>
      </c>
      <c r="N180" s="171">
        <f t="shared" ref="N180:N188" si="47">L180*(1-M180)</f>
        <v>5.2288668126348519</v>
      </c>
    </row>
    <row r="181" spans="1:14" x14ac:dyDescent="0.2">
      <c r="A181" s="60"/>
      <c r="B181" s="11"/>
      <c r="C181" s="255"/>
      <c r="D181" s="120" t="s">
        <v>119</v>
      </c>
      <c r="E181" s="65">
        <v>10</v>
      </c>
      <c r="F181" s="126">
        <v>2</v>
      </c>
      <c r="G181" s="127">
        <f>($C$180+E181+E181+4)*PI()+($C$180+E181+E181+8)*PI()</f>
        <v>283.05749808844035</v>
      </c>
      <c r="H181" s="72">
        <f t="shared" si="44"/>
        <v>35.328511230165446</v>
      </c>
      <c r="I181" s="156">
        <f t="shared" ref="I181:I188" si="48">($C$207+(E181*2)+(F181*2*2))*PI()</f>
        <v>197.92033717615698</v>
      </c>
      <c r="J181" s="157">
        <f t="shared" si="45"/>
        <v>12.631344689832963</v>
      </c>
      <c r="K181" s="173">
        <v>73</v>
      </c>
      <c r="L181" s="173">
        <f t="shared" si="46"/>
        <v>5.7792738455437842</v>
      </c>
      <c r="M181" s="66">
        <f t="shared" si="33"/>
        <v>0</v>
      </c>
      <c r="N181" s="171">
        <f t="shared" si="47"/>
        <v>5.7792738455437842</v>
      </c>
    </row>
    <row r="182" spans="1:14" x14ac:dyDescent="0.2">
      <c r="A182" s="60"/>
      <c r="B182" s="11"/>
      <c r="C182" s="255"/>
      <c r="D182" s="120" t="s">
        <v>119</v>
      </c>
      <c r="E182" s="65">
        <v>13</v>
      </c>
      <c r="F182" s="126">
        <v>2</v>
      </c>
      <c r="G182" s="127">
        <f t="shared" ref="G182:G184" si="49">($C$180+E182+E182+4)*PI()+($C$180+E182+E182+8)*PI()</f>
        <v>320.75660993151786</v>
      </c>
      <c r="H182" s="72">
        <f t="shared" si="44"/>
        <v>31.176286599783616</v>
      </c>
      <c r="I182" s="156">
        <f t="shared" si="48"/>
        <v>216.76989309769573</v>
      </c>
      <c r="J182" s="157">
        <f t="shared" si="45"/>
        <v>11.532966890717054</v>
      </c>
      <c r="K182" s="173">
        <v>73</v>
      </c>
      <c r="L182" s="173">
        <f t="shared" si="46"/>
        <v>6.3296808784527148</v>
      </c>
      <c r="M182" s="66">
        <f t="shared" si="33"/>
        <v>0</v>
      </c>
      <c r="N182" s="171">
        <f t="shared" si="47"/>
        <v>6.3296808784527148</v>
      </c>
    </row>
    <row r="183" spans="1:14" x14ac:dyDescent="0.2">
      <c r="A183" s="60"/>
      <c r="B183" s="11"/>
      <c r="C183" s="255"/>
      <c r="D183" s="120" t="s">
        <v>119</v>
      </c>
      <c r="E183" s="65">
        <v>16</v>
      </c>
      <c r="F183" s="126">
        <v>2</v>
      </c>
      <c r="G183" s="127">
        <f t="shared" si="49"/>
        <v>358.45572177459542</v>
      </c>
      <c r="H183" s="72">
        <f t="shared" si="44"/>
        <v>27.897448394723106</v>
      </c>
      <c r="I183" s="156">
        <f t="shared" si="48"/>
        <v>235.61944901923448</v>
      </c>
      <c r="J183" s="157">
        <f t="shared" si="45"/>
        <v>10.610329539459689</v>
      </c>
      <c r="K183" s="173">
        <v>73</v>
      </c>
      <c r="L183" s="173">
        <f t="shared" si="46"/>
        <v>6.8800879113616471</v>
      </c>
      <c r="M183" s="66">
        <f t="shared" si="33"/>
        <v>0</v>
      </c>
      <c r="N183" s="171">
        <f t="shared" si="47"/>
        <v>6.8800879113616471</v>
      </c>
    </row>
    <row r="184" spans="1:14" x14ac:dyDescent="0.2">
      <c r="A184" s="60"/>
      <c r="B184" s="11"/>
      <c r="C184" s="255"/>
      <c r="D184" s="120" t="s">
        <v>119</v>
      </c>
      <c r="E184" s="65">
        <v>19</v>
      </c>
      <c r="F184" s="126">
        <v>2</v>
      </c>
      <c r="G184" s="127">
        <f t="shared" si="49"/>
        <v>396.15483361767292</v>
      </c>
      <c r="H184" s="72">
        <f t="shared" si="44"/>
        <v>25.242655526073804</v>
      </c>
      <c r="I184" s="156">
        <f t="shared" si="48"/>
        <v>254.46900494077323</v>
      </c>
      <c r="J184" s="157">
        <f t="shared" si="45"/>
        <v>9.8243792032034172</v>
      </c>
      <c r="K184" s="173">
        <v>73</v>
      </c>
      <c r="L184" s="173">
        <f t="shared" si="46"/>
        <v>7.4304949442705777</v>
      </c>
      <c r="M184" s="66">
        <f t="shared" si="33"/>
        <v>0</v>
      </c>
      <c r="N184" s="171">
        <f t="shared" si="47"/>
        <v>7.4304949442705777</v>
      </c>
    </row>
    <row r="185" spans="1:14" x14ac:dyDescent="0.2">
      <c r="A185" s="60"/>
      <c r="B185" s="11"/>
      <c r="C185" s="255"/>
      <c r="D185" s="120" t="s">
        <v>119</v>
      </c>
      <c r="E185" s="65">
        <v>25</v>
      </c>
      <c r="F185" s="126">
        <v>3</v>
      </c>
      <c r="G185" s="127">
        <f>($C$180+E185+E185+4)*PI()+($C$180+E185+E185+8)*PI()+($C$180+E185+E185+12)*PI()</f>
        <v>726.1791418772807</v>
      </c>
      <c r="H185" s="72">
        <f t="shared" si="44"/>
        <v>13.770706735184541</v>
      </c>
      <c r="I185" s="156">
        <f t="shared" si="48"/>
        <v>304.73448739820992</v>
      </c>
      <c r="J185" s="157">
        <f t="shared" si="45"/>
        <v>8.2038630459739874</v>
      </c>
      <c r="K185" s="173">
        <v>73</v>
      </c>
      <c r="L185" s="173">
        <f t="shared" si="46"/>
        <v>8.8982470320277294</v>
      </c>
      <c r="M185" s="66">
        <f t="shared" si="33"/>
        <v>0</v>
      </c>
      <c r="N185" s="171">
        <f t="shared" si="47"/>
        <v>8.8982470320277294</v>
      </c>
    </row>
    <row r="186" spans="1:14" x14ac:dyDescent="0.2">
      <c r="A186" s="60"/>
      <c r="B186" s="11"/>
      <c r="C186" s="255"/>
      <c r="D186" s="120" t="s">
        <v>119</v>
      </c>
      <c r="E186" s="65">
        <v>32</v>
      </c>
      <c r="F186" s="126">
        <v>3</v>
      </c>
      <c r="G186" s="127">
        <f>($C$180+E186+E186+4)*PI()+($C$180+E186+E186+8)*PI()+($C$180+E186+E186+12)*PI()</f>
        <v>858.1260333280519</v>
      </c>
      <c r="H186" s="72">
        <f t="shared" si="44"/>
        <v>11.65329987859384</v>
      </c>
      <c r="I186" s="156">
        <f t="shared" si="48"/>
        <v>348.71678454846705</v>
      </c>
      <c r="J186" s="157">
        <f t="shared" si="45"/>
        <v>7.1691415807160066</v>
      </c>
      <c r="K186" s="173">
        <v>73</v>
      </c>
      <c r="L186" s="173">
        <f t="shared" si="46"/>
        <v>10.182530108815238</v>
      </c>
      <c r="M186" s="66">
        <f t="shared" si="33"/>
        <v>0</v>
      </c>
      <c r="N186" s="171">
        <f t="shared" si="47"/>
        <v>10.182530108815238</v>
      </c>
    </row>
    <row r="187" spans="1:14" x14ac:dyDescent="0.2">
      <c r="A187" s="60"/>
      <c r="B187" s="11"/>
      <c r="C187" s="255"/>
      <c r="D187" s="120" t="s">
        <v>119</v>
      </c>
      <c r="E187" s="65">
        <v>40</v>
      </c>
      <c r="F187" s="126">
        <v>4</v>
      </c>
      <c r="G187" s="127">
        <f>($C$180+E187+E187+4)*PI()+($C$180+E187+E187+8)*PI()+($C$180+E187+E187+12)*PI()+($C$180+E187+E187+16)*PI()</f>
        <v>1370.3627154958676</v>
      </c>
      <c r="H187" s="72">
        <f t="shared" si="44"/>
        <v>7.2973380601510938</v>
      </c>
      <c r="I187" s="156">
        <f t="shared" si="48"/>
        <v>411.54863762026292</v>
      </c>
      <c r="J187" s="157">
        <f t="shared" si="45"/>
        <v>6.0746161485456236</v>
      </c>
      <c r="K187" s="173">
        <v>73</v>
      </c>
      <c r="L187" s="173">
        <f t="shared" si="46"/>
        <v>12.017220218511676</v>
      </c>
      <c r="M187" s="66">
        <f t="shared" si="33"/>
        <v>0</v>
      </c>
      <c r="N187" s="171">
        <f t="shared" si="47"/>
        <v>12.017220218511676</v>
      </c>
    </row>
    <row r="188" spans="1:14" x14ac:dyDescent="0.2">
      <c r="A188" s="60"/>
      <c r="B188" s="11"/>
      <c r="C188" s="255"/>
      <c r="D188" s="120" t="s">
        <v>119</v>
      </c>
      <c r="E188" s="65">
        <v>50</v>
      </c>
      <c r="F188" s="126">
        <v>4</v>
      </c>
      <c r="G188" s="127">
        <f>($C$180+E188+E188+4)*PI()+($C$180+E188+E188+8)*PI()+($C$180+E188+E188+12)*PI()+($C$180+E188+E188+16)*PI()</f>
        <v>1621.6901277830511</v>
      </c>
      <c r="H188" s="72">
        <f t="shared" si="44"/>
        <v>6.1664061639633996</v>
      </c>
      <c r="I188" s="156">
        <f t="shared" si="48"/>
        <v>474.38049069205874</v>
      </c>
      <c r="J188" s="157">
        <f t="shared" si="45"/>
        <v>5.2700312282084552</v>
      </c>
      <c r="K188" s="173">
        <v>73</v>
      </c>
      <c r="L188" s="173">
        <f t="shared" si="46"/>
        <v>13.851910328208115</v>
      </c>
      <c r="M188" s="66">
        <f t="shared" si="33"/>
        <v>0</v>
      </c>
      <c r="N188" s="171">
        <f t="shared" si="47"/>
        <v>13.851910328208115</v>
      </c>
    </row>
    <row r="189" spans="1:14" x14ac:dyDescent="0.2">
      <c r="A189" s="60"/>
      <c r="B189" s="11"/>
      <c r="C189" s="255">
        <v>22</v>
      </c>
      <c r="D189" s="120" t="s">
        <v>119</v>
      </c>
      <c r="E189" s="65">
        <v>9</v>
      </c>
      <c r="F189" s="126">
        <v>1</v>
      </c>
      <c r="G189" s="127">
        <f>($C$189+E189+E189+4)*PI()</f>
        <v>138.23007675795088</v>
      </c>
      <c r="H189" s="72">
        <f t="shared" si="29"/>
        <v>72.343155950861529</v>
      </c>
      <c r="I189" s="156">
        <f>($C$207+(E189*2)+(F189*2*2))*PI()</f>
        <v>179.0707812546182</v>
      </c>
      <c r="J189" s="157">
        <f t="shared" si="31"/>
        <v>13.960959920341697</v>
      </c>
      <c r="K189" s="173">
        <v>73</v>
      </c>
      <c r="L189" s="173">
        <f t="shared" si="32"/>
        <v>5.2288668126348519</v>
      </c>
      <c r="M189" s="66">
        <f t="shared" si="33"/>
        <v>0</v>
      </c>
      <c r="N189" s="171">
        <f t="shared" si="28"/>
        <v>5.2288668126348519</v>
      </c>
    </row>
    <row r="190" spans="1:14" x14ac:dyDescent="0.2">
      <c r="A190" s="60"/>
      <c r="B190" s="11"/>
      <c r="C190" s="255"/>
      <c r="D190" s="120" t="s">
        <v>119</v>
      </c>
      <c r="E190" s="65">
        <v>10</v>
      </c>
      <c r="F190" s="126">
        <v>2</v>
      </c>
      <c r="G190" s="127">
        <f>($C$189+E190+E190+4)*PI()+($C$189+E190+E190+8)*PI()</f>
        <v>301.59289474462014</v>
      </c>
      <c r="H190" s="72">
        <f t="shared" si="29"/>
        <v>33.157279810811531</v>
      </c>
      <c r="I190" s="156">
        <f t="shared" ref="I190:I197" si="50">($C$207+(E190*2)+(F190*2*2))*PI()</f>
        <v>197.92033717615698</v>
      </c>
      <c r="J190" s="157">
        <f t="shared" si="31"/>
        <v>12.631344689832963</v>
      </c>
      <c r="K190" s="173">
        <v>73</v>
      </c>
      <c r="L190" s="173">
        <f t="shared" si="32"/>
        <v>5.7792738455437842</v>
      </c>
      <c r="M190" s="66">
        <f t="shared" si="33"/>
        <v>0</v>
      </c>
      <c r="N190" s="171">
        <f t="shared" si="28"/>
        <v>5.7792738455437842</v>
      </c>
    </row>
    <row r="191" spans="1:14" x14ac:dyDescent="0.2">
      <c r="A191" s="60"/>
      <c r="B191" s="11"/>
      <c r="C191" s="255"/>
      <c r="D191" s="120" t="s">
        <v>119</v>
      </c>
      <c r="E191" s="65">
        <v>13</v>
      </c>
      <c r="F191" s="126">
        <v>2</v>
      </c>
      <c r="G191" s="127">
        <f t="shared" ref="G191:G193" si="51">($C$189+E191+E191+4)*PI()+($C$189+E191+E191+8)*PI()</f>
        <v>339.29200658769764</v>
      </c>
      <c r="H191" s="72">
        <f t="shared" si="29"/>
        <v>29.473137609610248</v>
      </c>
      <c r="I191" s="156">
        <f t="shared" si="50"/>
        <v>216.76989309769573</v>
      </c>
      <c r="J191" s="157">
        <f t="shared" si="31"/>
        <v>11.532966890717054</v>
      </c>
      <c r="K191" s="173">
        <v>73</v>
      </c>
      <c r="L191" s="173">
        <f t="shared" si="32"/>
        <v>6.3296808784527148</v>
      </c>
      <c r="M191" s="66">
        <f t="shared" si="33"/>
        <v>0</v>
      </c>
      <c r="N191" s="171">
        <f t="shared" si="28"/>
        <v>6.3296808784527148</v>
      </c>
    </row>
    <row r="192" spans="1:14" x14ac:dyDescent="0.2">
      <c r="A192" s="60"/>
      <c r="B192" s="11"/>
      <c r="C192" s="255"/>
      <c r="D192" s="120" t="s">
        <v>119</v>
      </c>
      <c r="E192" s="65">
        <v>16</v>
      </c>
      <c r="F192" s="126">
        <v>2</v>
      </c>
      <c r="G192" s="127">
        <f t="shared" si="51"/>
        <v>376.99111843077515</v>
      </c>
      <c r="H192" s="72">
        <f t="shared" si="29"/>
        <v>26.525823848649225</v>
      </c>
      <c r="I192" s="156">
        <f t="shared" si="50"/>
        <v>235.61944901923448</v>
      </c>
      <c r="J192" s="157">
        <f t="shared" si="31"/>
        <v>10.610329539459689</v>
      </c>
      <c r="K192" s="173">
        <v>73</v>
      </c>
      <c r="L192" s="173">
        <f t="shared" si="32"/>
        <v>6.8800879113616471</v>
      </c>
      <c r="M192" s="66">
        <f t="shared" si="33"/>
        <v>0</v>
      </c>
      <c r="N192" s="171">
        <f t="shared" si="28"/>
        <v>6.8800879113616471</v>
      </c>
    </row>
    <row r="193" spans="1:14" x14ac:dyDescent="0.2">
      <c r="A193" s="60"/>
      <c r="B193" s="11"/>
      <c r="C193" s="255"/>
      <c r="D193" s="120" t="s">
        <v>119</v>
      </c>
      <c r="E193" s="65">
        <v>19</v>
      </c>
      <c r="F193" s="126">
        <v>2</v>
      </c>
      <c r="G193" s="127">
        <f t="shared" si="51"/>
        <v>414.69023027385271</v>
      </c>
      <c r="H193" s="72">
        <f t="shared" si="29"/>
        <v>24.11438531695384</v>
      </c>
      <c r="I193" s="156">
        <f t="shared" si="50"/>
        <v>254.46900494077323</v>
      </c>
      <c r="J193" s="157">
        <f t="shared" si="31"/>
        <v>9.8243792032034172</v>
      </c>
      <c r="K193" s="173">
        <v>73</v>
      </c>
      <c r="L193" s="173">
        <f t="shared" si="32"/>
        <v>7.4304949442705777</v>
      </c>
      <c r="M193" s="66">
        <f t="shared" si="33"/>
        <v>0</v>
      </c>
      <c r="N193" s="171">
        <f t="shared" si="28"/>
        <v>7.4304949442705777</v>
      </c>
    </row>
    <row r="194" spans="1:14" x14ac:dyDescent="0.2">
      <c r="A194" s="60"/>
      <c r="B194" s="11"/>
      <c r="C194" s="255"/>
      <c r="D194" s="120" t="s">
        <v>119</v>
      </c>
      <c r="E194" s="65">
        <v>25</v>
      </c>
      <c r="F194" s="126">
        <v>3</v>
      </c>
      <c r="G194" s="127">
        <f>($C$189+E194+E194+4)*PI()+($C$189+E194+E194+8)*PI()+($C$189+E194+E194+12)*PI()</f>
        <v>753.98223686155029</v>
      </c>
      <c r="H194" s="72">
        <f t="shared" si="29"/>
        <v>13.262911924324612</v>
      </c>
      <c r="I194" s="156">
        <f t="shared" si="50"/>
        <v>304.73448739820992</v>
      </c>
      <c r="J194" s="157">
        <f t="shared" si="31"/>
        <v>8.2038630459739874</v>
      </c>
      <c r="K194" s="173">
        <v>73</v>
      </c>
      <c r="L194" s="173">
        <f t="shared" si="32"/>
        <v>8.8982470320277294</v>
      </c>
      <c r="M194" s="66">
        <f t="shared" si="33"/>
        <v>0</v>
      </c>
      <c r="N194" s="171">
        <f t="shared" si="28"/>
        <v>8.8982470320277294</v>
      </c>
    </row>
    <row r="195" spans="1:14" x14ac:dyDescent="0.2">
      <c r="A195" s="60"/>
      <c r="B195" s="11"/>
      <c r="C195" s="255"/>
      <c r="D195" s="120" t="s">
        <v>119</v>
      </c>
      <c r="E195" s="65">
        <v>32</v>
      </c>
      <c r="F195" s="126">
        <v>3</v>
      </c>
      <c r="G195" s="127">
        <f>($C$189+E195+E195+4)*PI()+($C$189+E195+E195+8)*PI()+($C$189+E195+E195+12)*PI()</f>
        <v>885.92912831232172</v>
      </c>
      <c r="H195" s="72">
        <f t="shared" si="29"/>
        <v>11.287584616446477</v>
      </c>
      <c r="I195" s="156">
        <f t="shared" si="50"/>
        <v>348.71678454846705</v>
      </c>
      <c r="J195" s="157">
        <f t="shared" si="31"/>
        <v>7.1691415807160066</v>
      </c>
      <c r="K195" s="173">
        <v>73</v>
      </c>
      <c r="L195" s="173">
        <f t="shared" si="32"/>
        <v>10.182530108815238</v>
      </c>
      <c r="M195" s="66">
        <f t="shared" si="33"/>
        <v>0</v>
      </c>
      <c r="N195" s="171">
        <f t="shared" si="28"/>
        <v>10.182530108815238</v>
      </c>
    </row>
    <row r="196" spans="1:14" x14ac:dyDescent="0.2">
      <c r="A196" s="60"/>
      <c r="B196" s="11"/>
      <c r="C196" s="255"/>
      <c r="D196" s="120" t="s">
        <v>119</v>
      </c>
      <c r="E196" s="65">
        <v>40</v>
      </c>
      <c r="F196" s="126">
        <v>4</v>
      </c>
      <c r="G196" s="127">
        <f>($C$189+E196+E196+4)*PI()+($C$189+E196+E196+8)*PI()+($C$189+E196+E196+12)*PI()+($C$189+E196+E196+16)*PI()</f>
        <v>1407.4335088082271</v>
      </c>
      <c r="H196" s="72">
        <f t="shared" si="29"/>
        <v>7.1051313880310429</v>
      </c>
      <c r="I196" s="156">
        <f t="shared" si="50"/>
        <v>411.54863762026292</v>
      </c>
      <c r="J196" s="157">
        <f t="shared" si="31"/>
        <v>6.0746161485456236</v>
      </c>
      <c r="K196" s="173">
        <v>73</v>
      </c>
      <c r="L196" s="173">
        <f t="shared" si="32"/>
        <v>12.017220218511676</v>
      </c>
      <c r="M196" s="66">
        <f t="shared" si="33"/>
        <v>0</v>
      </c>
      <c r="N196" s="171">
        <f t="shared" si="28"/>
        <v>12.017220218511676</v>
      </c>
    </row>
    <row r="197" spans="1:14" x14ac:dyDescent="0.2">
      <c r="A197" s="60"/>
      <c r="B197" s="11"/>
      <c r="C197" s="255"/>
      <c r="D197" s="120" t="s">
        <v>119</v>
      </c>
      <c r="E197" s="65">
        <v>50</v>
      </c>
      <c r="F197" s="126">
        <v>4</v>
      </c>
      <c r="G197" s="127">
        <f>($C$189+E197+E197+4)*PI()+($C$189+E197+E197+8)*PI()+($C$189+E197+E197+12)*PI()+($C$189+E197+E197+16)*PI()</f>
        <v>1658.7609210954106</v>
      </c>
      <c r="H197" s="72">
        <f t="shared" si="29"/>
        <v>6.0285963292384608</v>
      </c>
      <c r="I197" s="156">
        <f t="shared" si="50"/>
        <v>474.38049069205874</v>
      </c>
      <c r="J197" s="157">
        <f t="shared" si="31"/>
        <v>5.2700312282084552</v>
      </c>
      <c r="K197" s="173">
        <v>73</v>
      </c>
      <c r="L197" s="173">
        <f t="shared" si="32"/>
        <v>13.851910328208115</v>
      </c>
      <c r="M197" s="66">
        <f t="shared" si="33"/>
        <v>0</v>
      </c>
      <c r="N197" s="171">
        <f t="shared" si="28"/>
        <v>13.851910328208115</v>
      </c>
    </row>
    <row r="198" spans="1:14" x14ac:dyDescent="0.2">
      <c r="A198" s="60"/>
      <c r="B198" s="11"/>
      <c r="C198" s="255">
        <v>28</v>
      </c>
      <c r="D198" s="120" t="s">
        <v>119</v>
      </c>
      <c r="E198" s="65">
        <v>9</v>
      </c>
      <c r="F198" s="126">
        <v>1</v>
      </c>
      <c r="G198" s="127">
        <f>($C$198+E198+E198+4)*PI()</f>
        <v>157.07963267948966</v>
      </c>
      <c r="H198" s="72">
        <f t="shared" ref="H198:H206" si="52">10000/G198</f>
        <v>63.661977236758133</v>
      </c>
      <c r="I198" s="156">
        <f>($C$207+(E198*2)+(F198*2*2))*PI()</f>
        <v>179.0707812546182</v>
      </c>
      <c r="J198" s="157">
        <f t="shared" ref="J198:J206" si="53">2500/I198</f>
        <v>13.960959920341697</v>
      </c>
      <c r="K198" s="173">
        <v>73</v>
      </c>
      <c r="L198" s="173">
        <f t="shared" ref="L198:L206" si="54">K198/J198</f>
        <v>5.2288668126348519</v>
      </c>
      <c r="M198" s="66">
        <f t="shared" si="33"/>
        <v>0</v>
      </c>
      <c r="N198" s="171">
        <f t="shared" ref="N198:N206" si="55">L198*(1-M198)</f>
        <v>5.2288668126348519</v>
      </c>
    </row>
    <row r="199" spans="1:14" x14ac:dyDescent="0.2">
      <c r="A199" s="60"/>
      <c r="B199" s="11"/>
      <c r="C199" s="255"/>
      <c r="D199" s="120" t="s">
        <v>119</v>
      </c>
      <c r="E199" s="65">
        <v>10</v>
      </c>
      <c r="F199" s="126">
        <v>2</v>
      </c>
      <c r="G199" s="127">
        <f>($C$198+E199+E199+4)*PI()+($C$198+E199+E199+8)*PI()</f>
        <v>339.29200658769764</v>
      </c>
      <c r="H199" s="72">
        <f t="shared" si="52"/>
        <v>29.473137609610248</v>
      </c>
      <c r="I199" s="156">
        <f t="shared" ref="I199:I206" si="56">($C$207+(E199*2)+(F199*2*2))*PI()</f>
        <v>197.92033717615698</v>
      </c>
      <c r="J199" s="157">
        <f t="shared" si="53"/>
        <v>12.631344689832963</v>
      </c>
      <c r="K199" s="173">
        <v>73</v>
      </c>
      <c r="L199" s="173">
        <f t="shared" si="54"/>
        <v>5.7792738455437842</v>
      </c>
      <c r="M199" s="66">
        <f t="shared" si="33"/>
        <v>0</v>
      </c>
      <c r="N199" s="171">
        <f t="shared" si="55"/>
        <v>5.7792738455437842</v>
      </c>
    </row>
    <row r="200" spans="1:14" x14ac:dyDescent="0.2">
      <c r="A200" s="60"/>
      <c r="B200" s="11"/>
      <c r="C200" s="255"/>
      <c r="D200" s="120" t="s">
        <v>119</v>
      </c>
      <c r="E200" s="65">
        <v>13</v>
      </c>
      <c r="F200" s="126">
        <v>2</v>
      </c>
      <c r="G200" s="127">
        <f t="shared" ref="G200:G202" si="57">($C$198+E200+E200+4)*PI()+($C$198+E200+E200+8)*PI()</f>
        <v>376.99111843077515</v>
      </c>
      <c r="H200" s="72">
        <f t="shared" si="52"/>
        <v>26.525823848649225</v>
      </c>
      <c r="I200" s="156">
        <f t="shared" si="56"/>
        <v>216.76989309769573</v>
      </c>
      <c r="J200" s="157">
        <f t="shared" si="53"/>
        <v>11.532966890717054</v>
      </c>
      <c r="K200" s="173">
        <v>73</v>
      </c>
      <c r="L200" s="173">
        <f t="shared" si="54"/>
        <v>6.3296808784527148</v>
      </c>
      <c r="M200" s="66">
        <f t="shared" si="33"/>
        <v>0</v>
      </c>
      <c r="N200" s="171">
        <f t="shared" si="55"/>
        <v>6.3296808784527148</v>
      </c>
    </row>
    <row r="201" spans="1:14" x14ac:dyDescent="0.2">
      <c r="A201" s="60"/>
      <c r="B201" s="11"/>
      <c r="C201" s="255"/>
      <c r="D201" s="120" t="s">
        <v>119</v>
      </c>
      <c r="E201" s="65">
        <v>16</v>
      </c>
      <c r="F201" s="126">
        <v>2</v>
      </c>
      <c r="G201" s="127">
        <f t="shared" si="57"/>
        <v>414.69023027385271</v>
      </c>
      <c r="H201" s="72">
        <f t="shared" si="52"/>
        <v>24.11438531695384</v>
      </c>
      <c r="I201" s="156">
        <f t="shared" si="56"/>
        <v>235.61944901923448</v>
      </c>
      <c r="J201" s="157">
        <f t="shared" si="53"/>
        <v>10.610329539459689</v>
      </c>
      <c r="K201" s="173">
        <v>73</v>
      </c>
      <c r="L201" s="173">
        <f t="shared" si="54"/>
        <v>6.8800879113616471</v>
      </c>
      <c r="M201" s="66">
        <f t="shared" si="33"/>
        <v>0</v>
      </c>
      <c r="N201" s="171">
        <f t="shared" si="55"/>
        <v>6.8800879113616471</v>
      </c>
    </row>
    <row r="202" spans="1:14" x14ac:dyDescent="0.2">
      <c r="A202" s="60"/>
      <c r="B202" s="11"/>
      <c r="C202" s="255"/>
      <c r="D202" s="120" t="s">
        <v>119</v>
      </c>
      <c r="E202" s="65">
        <v>19</v>
      </c>
      <c r="F202" s="126">
        <v>2</v>
      </c>
      <c r="G202" s="127">
        <f t="shared" si="57"/>
        <v>452.38934211693021</v>
      </c>
      <c r="H202" s="72">
        <f t="shared" si="52"/>
        <v>22.104853207207686</v>
      </c>
      <c r="I202" s="156">
        <f t="shared" si="56"/>
        <v>254.46900494077323</v>
      </c>
      <c r="J202" s="157">
        <f t="shared" si="53"/>
        <v>9.8243792032034172</v>
      </c>
      <c r="K202" s="173">
        <v>73</v>
      </c>
      <c r="L202" s="173">
        <f t="shared" si="54"/>
        <v>7.4304949442705777</v>
      </c>
      <c r="M202" s="66">
        <f t="shared" si="33"/>
        <v>0</v>
      </c>
      <c r="N202" s="171">
        <f t="shared" si="55"/>
        <v>7.4304949442705777</v>
      </c>
    </row>
    <row r="203" spans="1:14" x14ac:dyDescent="0.2">
      <c r="A203" s="60"/>
      <c r="B203" s="11"/>
      <c r="C203" s="255"/>
      <c r="D203" s="120" t="s">
        <v>119</v>
      </c>
      <c r="E203" s="65">
        <v>25</v>
      </c>
      <c r="F203" s="126">
        <v>3</v>
      </c>
      <c r="G203" s="127">
        <f>($C$198+E203+E203+4)*PI()+($C$198+E203+E203+8)*PI()+($C$198+E203+E203+12)*PI()</f>
        <v>810.5309046261666</v>
      </c>
      <c r="H203" s="72">
        <f t="shared" si="52"/>
        <v>12.337592487743825</v>
      </c>
      <c r="I203" s="156">
        <f t="shared" si="56"/>
        <v>304.73448739820992</v>
      </c>
      <c r="J203" s="157">
        <f t="shared" si="53"/>
        <v>8.2038630459739874</v>
      </c>
      <c r="K203" s="173">
        <v>73</v>
      </c>
      <c r="L203" s="173">
        <f t="shared" si="54"/>
        <v>8.8982470320277294</v>
      </c>
      <c r="M203" s="66">
        <f t="shared" si="33"/>
        <v>0</v>
      </c>
      <c r="N203" s="171">
        <f t="shared" si="55"/>
        <v>8.8982470320277294</v>
      </c>
    </row>
    <row r="204" spans="1:14" x14ac:dyDescent="0.2">
      <c r="A204" s="60"/>
      <c r="B204" s="11"/>
      <c r="C204" s="255"/>
      <c r="D204" s="120" t="s">
        <v>119</v>
      </c>
      <c r="E204" s="65">
        <v>32</v>
      </c>
      <c r="F204" s="126">
        <v>3</v>
      </c>
      <c r="G204" s="127">
        <f>($C$198+E204+E204+4)*PI()+($C$198+E204+E204+8)*PI()+($C$198+E204+E204+12)*PI()</f>
        <v>942.47779607693792</v>
      </c>
      <c r="H204" s="72">
        <f t="shared" si="52"/>
        <v>10.610329539459689</v>
      </c>
      <c r="I204" s="156">
        <f t="shared" si="56"/>
        <v>348.71678454846705</v>
      </c>
      <c r="J204" s="157">
        <f t="shared" si="53"/>
        <v>7.1691415807160066</v>
      </c>
      <c r="K204" s="173">
        <v>73</v>
      </c>
      <c r="L204" s="173">
        <f t="shared" si="54"/>
        <v>10.182530108815238</v>
      </c>
      <c r="M204" s="66">
        <f t="shared" si="33"/>
        <v>0</v>
      </c>
      <c r="N204" s="171">
        <f t="shared" si="55"/>
        <v>10.182530108815238</v>
      </c>
    </row>
    <row r="205" spans="1:14" x14ac:dyDescent="0.2">
      <c r="A205" s="60"/>
      <c r="B205" s="11"/>
      <c r="C205" s="255"/>
      <c r="D205" s="120" t="s">
        <v>119</v>
      </c>
      <c r="E205" s="65">
        <v>40</v>
      </c>
      <c r="F205" s="126">
        <v>4</v>
      </c>
      <c r="G205" s="127">
        <f>($C$198+E205+E205+4)*PI()+($C$198+E205+E205+8)*PI()+($C$198+E205+E205+12)*PI()+($C$198+E205+E205+16)*PI()</f>
        <v>1482.8317324943823</v>
      </c>
      <c r="H205" s="72">
        <f t="shared" si="52"/>
        <v>6.7438535208430235</v>
      </c>
      <c r="I205" s="156">
        <f t="shared" si="56"/>
        <v>411.54863762026292</v>
      </c>
      <c r="J205" s="157">
        <f t="shared" si="53"/>
        <v>6.0746161485456236</v>
      </c>
      <c r="K205" s="173">
        <v>73</v>
      </c>
      <c r="L205" s="173">
        <f t="shared" si="54"/>
        <v>12.017220218511676</v>
      </c>
      <c r="M205" s="66">
        <f t="shared" si="33"/>
        <v>0</v>
      </c>
      <c r="N205" s="171">
        <f t="shared" si="55"/>
        <v>12.017220218511676</v>
      </c>
    </row>
    <row r="206" spans="1:14" x14ac:dyDescent="0.2">
      <c r="A206" s="60"/>
      <c r="B206" s="11"/>
      <c r="C206" s="255"/>
      <c r="D206" s="120" t="s">
        <v>119</v>
      </c>
      <c r="E206" s="65">
        <v>50</v>
      </c>
      <c r="F206" s="126">
        <v>4</v>
      </c>
      <c r="G206" s="127">
        <f>($C$198+E206+E206+4)*PI()+($C$198+E206+E206+8)*PI()+($C$198+E206+E206+12)*PI()+($C$198+E206+E206+16)*PI()</f>
        <v>1734.1591447815661</v>
      </c>
      <c r="H206" s="72">
        <f t="shared" si="52"/>
        <v>5.7664834453585261</v>
      </c>
      <c r="I206" s="156">
        <f t="shared" si="56"/>
        <v>474.38049069205874</v>
      </c>
      <c r="J206" s="157">
        <f t="shared" si="53"/>
        <v>5.2700312282084552</v>
      </c>
      <c r="K206" s="173">
        <v>73</v>
      </c>
      <c r="L206" s="173">
        <f t="shared" si="54"/>
        <v>13.851910328208115</v>
      </c>
      <c r="M206" s="66">
        <f t="shared" si="33"/>
        <v>0</v>
      </c>
      <c r="N206" s="171">
        <f t="shared" si="55"/>
        <v>13.851910328208115</v>
      </c>
    </row>
    <row r="207" spans="1:14" x14ac:dyDescent="0.2">
      <c r="A207" s="60"/>
      <c r="B207" s="11"/>
      <c r="C207" s="255">
        <v>35</v>
      </c>
      <c r="D207" s="120" t="s">
        <v>119</v>
      </c>
      <c r="E207" s="65">
        <v>9</v>
      </c>
      <c r="F207" s="126">
        <v>1</v>
      </c>
      <c r="G207" s="127">
        <f>($C$207+E207+E207+4)*PI()</f>
        <v>179.0707812546182</v>
      </c>
      <c r="H207" s="72">
        <f t="shared" si="29"/>
        <v>55.843839681366788</v>
      </c>
      <c r="I207" s="156">
        <f>($C$207+(E207*2)+(F207*2*2))*PI()</f>
        <v>179.0707812546182</v>
      </c>
      <c r="J207" s="157">
        <f t="shared" si="31"/>
        <v>13.960959920341697</v>
      </c>
      <c r="K207" s="173">
        <v>73</v>
      </c>
      <c r="L207" s="173">
        <f t="shared" si="32"/>
        <v>5.2288668126348519</v>
      </c>
      <c r="M207" s="66">
        <f t="shared" si="33"/>
        <v>0</v>
      </c>
      <c r="N207" s="171">
        <f t="shared" si="28"/>
        <v>5.2288668126348519</v>
      </c>
    </row>
    <row r="208" spans="1:14" x14ac:dyDescent="0.2">
      <c r="A208" s="60"/>
      <c r="B208" s="11"/>
      <c r="C208" s="255"/>
      <c r="D208" s="120" t="s">
        <v>119</v>
      </c>
      <c r="E208" s="65">
        <v>10</v>
      </c>
      <c r="F208" s="126">
        <v>2</v>
      </c>
      <c r="G208" s="127">
        <f>($C$207+E208+E208+4)*PI()+($C$207+E208+E208+8)*PI()</f>
        <v>383.27430373795477</v>
      </c>
      <c r="H208" s="72">
        <f t="shared" si="29"/>
        <v>26.090974277359891</v>
      </c>
      <c r="I208" s="156">
        <f t="shared" ref="I208:I215" si="58">($C$207+(E208*2)+(F208*2*2))*PI()</f>
        <v>197.92033717615698</v>
      </c>
      <c r="J208" s="157">
        <f t="shared" si="31"/>
        <v>12.631344689832963</v>
      </c>
      <c r="K208" s="173">
        <v>73</v>
      </c>
      <c r="L208" s="173">
        <f t="shared" si="32"/>
        <v>5.7792738455437842</v>
      </c>
      <c r="M208" s="66">
        <f t="shared" si="33"/>
        <v>0</v>
      </c>
      <c r="N208" s="171">
        <f t="shared" si="28"/>
        <v>5.7792738455437842</v>
      </c>
    </row>
    <row r="209" spans="1:14" x14ac:dyDescent="0.2">
      <c r="A209" s="60"/>
      <c r="B209" s="11"/>
      <c r="C209" s="255"/>
      <c r="D209" s="120" t="s">
        <v>119</v>
      </c>
      <c r="E209" s="65">
        <v>13</v>
      </c>
      <c r="F209" s="126">
        <v>2</v>
      </c>
      <c r="G209" s="127">
        <f>($C$207+E209+E209+4)*PI()+($C$207+E209+E209+8)*PI()</f>
        <v>420.97341558103227</v>
      </c>
      <c r="H209" s="72">
        <f t="shared" si="29"/>
        <v>23.754469118193335</v>
      </c>
      <c r="I209" s="156">
        <f t="shared" si="58"/>
        <v>216.76989309769573</v>
      </c>
      <c r="J209" s="157">
        <f t="shared" si="31"/>
        <v>11.532966890717054</v>
      </c>
      <c r="K209" s="173">
        <v>73</v>
      </c>
      <c r="L209" s="173">
        <f t="shared" si="32"/>
        <v>6.3296808784527148</v>
      </c>
      <c r="M209" s="66">
        <f t="shared" si="33"/>
        <v>0</v>
      </c>
      <c r="N209" s="171">
        <f t="shared" si="28"/>
        <v>6.3296808784527148</v>
      </c>
    </row>
    <row r="210" spans="1:14" x14ac:dyDescent="0.2">
      <c r="A210" s="60"/>
      <c r="B210" s="11"/>
      <c r="C210" s="255"/>
      <c r="D210" s="120" t="s">
        <v>119</v>
      </c>
      <c r="E210" s="65">
        <v>16</v>
      </c>
      <c r="F210" s="126">
        <v>2</v>
      </c>
      <c r="G210" s="127">
        <f>($C$207+E210+E210+4)*PI()+($C$207+E210+E210+8)*PI()</f>
        <v>458.67252742410983</v>
      </c>
      <c r="H210" s="72">
        <f t="shared" si="29"/>
        <v>21.802046998889772</v>
      </c>
      <c r="I210" s="156">
        <f t="shared" si="58"/>
        <v>235.61944901923448</v>
      </c>
      <c r="J210" s="157">
        <f t="shared" si="31"/>
        <v>10.610329539459689</v>
      </c>
      <c r="K210" s="173">
        <v>73</v>
      </c>
      <c r="L210" s="173">
        <f t="shared" si="32"/>
        <v>6.8800879113616471</v>
      </c>
      <c r="M210" s="66">
        <f t="shared" si="33"/>
        <v>0</v>
      </c>
      <c r="N210" s="171">
        <f t="shared" si="28"/>
        <v>6.8800879113616471</v>
      </c>
    </row>
    <row r="211" spans="1:14" x14ac:dyDescent="0.2">
      <c r="A211" s="60"/>
      <c r="B211" s="11"/>
      <c r="C211" s="255"/>
      <c r="D211" s="120" t="s">
        <v>119</v>
      </c>
      <c r="E211" s="65">
        <v>19</v>
      </c>
      <c r="F211" s="126">
        <v>2</v>
      </c>
      <c r="G211" s="127">
        <f>($C$207+E211+E211+4)*PI()+($C$207+E211+E211+8)*PI()</f>
        <v>496.37163926718733</v>
      </c>
      <c r="H211" s="72">
        <f t="shared" si="29"/>
        <v>20.146195328088016</v>
      </c>
      <c r="I211" s="156">
        <f t="shared" si="58"/>
        <v>254.46900494077323</v>
      </c>
      <c r="J211" s="157">
        <f t="shared" si="31"/>
        <v>9.8243792032034172</v>
      </c>
      <c r="K211" s="173">
        <v>73</v>
      </c>
      <c r="L211" s="173">
        <f t="shared" si="32"/>
        <v>7.4304949442705777</v>
      </c>
      <c r="M211" s="66">
        <f t="shared" si="33"/>
        <v>0</v>
      </c>
      <c r="N211" s="171">
        <f t="shared" si="28"/>
        <v>7.4304949442705777</v>
      </c>
    </row>
    <row r="212" spans="1:14" x14ac:dyDescent="0.2">
      <c r="A212" s="60"/>
      <c r="B212" s="11"/>
      <c r="C212" s="255"/>
      <c r="D212" s="120" t="s">
        <v>119</v>
      </c>
      <c r="E212" s="65">
        <v>25</v>
      </c>
      <c r="F212" s="126">
        <v>3</v>
      </c>
      <c r="G212" s="127">
        <f>($C$207+E212+E212+4)*PI()+($C$207+E212+E212+8)*PI()+($C$207+E212+E212+12)*PI()</f>
        <v>876.50435035155226</v>
      </c>
      <c r="H212" s="72">
        <f t="shared" si="29"/>
        <v>11.408956494042677</v>
      </c>
      <c r="I212" s="156">
        <f t="shared" si="58"/>
        <v>304.73448739820992</v>
      </c>
      <c r="J212" s="157">
        <f t="shared" si="31"/>
        <v>8.2038630459739874</v>
      </c>
      <c r="K212" s="173">
        <v>73</v>
      </c>
      <c r="L212" s="173">
        <f t="shared" si="32"/>
        <v>8.8982470320277294</v>
      </c>
      <c r="M212" s="66">
        <f t="shared" si="33"/>
        <v>0</v>
      </c>
      <c r="N212" s="171">
        <f t="shared" si="28"/>
        <v>8.8982470320277294</v>
      </c>
    </row>
    <row r="213" spans="1:14" x14ac:dyDescent="0.2">
      <c r="A213" s="60"/>
      <c r="B213" s="11"/>
      <c r="C213" s="255"/>
      <c r="D213" s="120" t="s">
        <v>119</v>
      </c>
      <c r="E213" s="65">
        <v>32</v>
      </c>
      <c r="F213" s="126">
        <v>3</v>
      </c>
      <c r="G213" s="127">
        <f>($C$207+E213+E213+4)*PI()+($C$207+E213+E213+8)*PI()+($C$207+E213+E213+12)*PI()</f>
        <v>1008.4512418023237</v>
      </c>
      <c r="H213" s="72">
        <f t="shared" si="29"/>
        <v>9.9161958312707377</v>
      </c>
      <c r="I213" s="156">
        <f t="shared" si="58"/>
        <v>348.71678454846705</v>
      </c>
      <c r="J213" s="157">
        <f t="shared" si="31"/>
        <v>7.1691415807160066</v>
      </c>
      <c r="K213" s="173">
        <v>73</v>
      </c>
      <c r="L213" s="173">
        <f t="shared" si="32"/>
        <v>10.182530108815238</v>
      </c>
      <c r="M213" s="66">
        <f t="shared" si="33"/>
        <v>0</v>
      </c>
      <c r="N213" s="171">
        <f t="shared" si="28"/>
        <v>10.182530108815238</v>
      </c>
    </row>
    <row r="214" spans="1:14" x14ac:dyDescent="0.2">
      <c r="A214" s="60"/>
      <c r="B214" s="11"/>
      <c r="C214" s="255"/>
      <c r="D214" s="120" t="s">
        <v>119</v>
      </c>
      <c r="E214" s="65">
        <v>40</v>
      </c>
      <c r="F214" s="126">
        <v>4</v>
      </c>
      <c r="G214" s="127">
        <f>($C$207+E214+E214+4)*PI()+($C$207+E214+E214+8)*PI()+($C$207+E214+E214+12)*PI()+($C$207+E214+E214+16)*PI()</f>
        <v>1570.7963267948967</v>
      </c>
      <c r="H214" s="72">
        <f t="shared" si="29"/>
        <v>6.3661977236758132</v>
      </c>
      <c r="I214" s="156">
        <f t="shared" si="58"/>
        <v>411.54863762026292</v>
      </c>
      <c r="J214" s="157">
        <f t="shared" si="31"/>
        <v>6.0746161485456236</v>
      </c>
      <c r="K214" s="173">
        <v>73</v>
      </c>
      <c r="L214" s="173">
        <f t="shared" si="32"/>
        <v>12.017220218511676</v>
      </c>
      <c r="M214" s="66">
        <f t="shared" si="33"/>
        <v>0</v>
      </c>
      <c r="N214" s="171">
        <f t="shared" si="28"/>
        <v>12.017220218511676</v>
      </c>
    </row>
    <row r="215" spans="1:14" x14ac:dyDescent="0.2">
      <c r="A215" s="60"/>
      <c r="B215" s="11"/>
      <c r="C215" s="255"/>
      <c r="D215" s="120" t="s">
        <v>119</v>
      </c>
      <c r="E215" s="65">
        <v>50</v>
      </c>
      <c r="F215" s="126">
        <v>4</v>
      </c>
      <c r="G215" s="127">
        <f>($C$207+E215+E215+4)*PI()+($C$207+E215+E215+8)*PI()+($C$207+E215+E215+12)*PI()+($C$207+E215+E215+16)*PI()</f>
        <v>1822.1237390820797</v>
      </c>
      <c r="H215" s="72">
        <f t="shared" si="29"/>
        <v>5.4881014859274266</v>
      </c>
      <c r="I215" s="156">
        <f t="shared" si="58"/>
        <v>474.38049069205874</v>
      </c>
      <c r="J215" s="157">
        <f t="shared" si="31"/>
        <v>5.2700312282084552</v>
      </c>
      <c r="K215" s="173">
        <v>73</v>
      </c>
      <c r="L215" s="173">
        <f t="shared" si="32"/>
        <v>13.851910328208115</v>
      </c>
      <c r="M215" s="66">
        <f t="shared" si="33"/>
        <v>0</v>
      </c>
      <c r="N215" s="171">
        <f t="shared" si="28"/>
        <v>13.851910328208115</v>
      </c>
    </row>
    <row r="216" spans="1:14" x14ac:dyDescent="0.2">
      <c r="A216" s="60"/>
      <c r="B216" s="11"/>
      <c r="C216" s="255">
        <v>42</v>
      </c>
      <c r="D216" s="120" t="s">
        <v>119</v>
      </c>
      <c r="E216" s="65">
        <v>9</v>
      </c>
      <c r="F216" s="126">
        <v>1</v>
      </c>
      <c r="G216" s="127">
        <f>($C$216+E216+E216+4)*PI()</f>
        <v>201.06192982974676</v>
      </c>
      <c r="H216" s="72">
        <f t="shared" si="29"/>
        <v>49.735919716217296</v>
      </c>
      <c r="I216" s="156">
        <f>($C$216+(E216*2)+(F216*2*2))*PI()</f>
        <v>201.06192982974676</v>
      </c>
      <c r="J216" s="157">
        <f t="shared" si="31"/>
        <v>12.433979929054324</v>
      </c>
      <c r="K216" s="173">
        <v>73</v>
      </c>
      <c r="L216" s="173">
        <f t="shared" si="32"/>
        <v>5.8710083510286051</v>
      </c>
      <c r="M216" s="66">
        <f t="shared" si="33"/>
        <v>0</v>
      </c>
      <c r="N216" s="171">
        <f t="shared" si="28"/>
        <v>5.8710083510286051</v>
      </c>
    </row>
    <row r="217" spans="1:14" x14ac:dyDescent="0.2">
      <c r="A217" s="60"/>
      <c r="B217" s="11"/>
      <c r="C217" s="255"/>
      <c r="D217" s="120" t="s">
        <v>119</v>
      </c>
      <c r="E217" s="65">
        <v>10</v>
      </c>
      <c r="F217" s="126">
        <v>2</v>
      </c>
      <c r="G217" s="127">
        <f>($C$216+E217+E217+4)*PI()+($C$216+E217+E217+8)*PI()</f>
        <v>427.25660088821189</v>
      </c>
      <c r="H217" s="72">
        <f t="shared" si="29"/>
        <v>23.405138689984607</v>
      </c>
      <c r="I217" s="156">
        <f t="shared" ref="I217:I224" si="59">($C$216+(E217*2)+(F217*2*2))*PI()</f>
        <v>219.91148575128551</v>
      </c>
      <c r="J217" s="157">
        <f t="shared" si="31"/>
        <v>11.368210220849667</v>
      </c>
      <c r="K217" s="173">
        <v>73</v>
      </c>
      <c r="L217" s="173">
        <f t="shared" si="32"/>
        <v>6.4214153839375374</v>
      </c>
      <c r="M217" s="66">
        <f t="shared" si="33"/>
        <v>0</v>
      </c>
      <c r="N217" s="171">
        <f t="shared" si="28"/>
        <v>6.4214153839375374</v>
      </c>
    </row>
    <row r="218" spans="1:14" x14ac:dyDescent="0.2">
      <c r="A218" s="60"/>
      <c r="B218" s="11"/>
      <c r="C218" s="255"/>
      <c r="D218" s="120" t="s">
        <v>119</v>
      </c>
      <c r="E218" s="65">
        <v>13</v>
      </c>
      <c r="F218" s="126">
        <v>2</v>
      </c>
      <c r="G218" s="127">
        <f>($C$216+E218+E218+4)*PI()+($C$216+E218+E218+8)*PI()</f>
        <v>464.9557127312894</v>
      </c>
      <c r="H218" s="72">
        <f t="shared" si="29"/>
        <v>21.507424742148018</v>
      </c>
      <c r="I218" s="156">
        <f t="shared" si="59"/>
        <v>238.76104167282426</v>
      </c>
      <c r="J218" s="157">
        <f t="shared" si="31"/>
        <v>10.470719940256274</v>
      </c>
      <c r="K218" s="173">
        <v>73</v>
      </c>
      <c r="L218" s="173">
        <f t="shared" si="32"/>
        <v>6.971822416846468</v>
      </c>
      <c r="M218" s="66">
        <f t="shared" si="33"/>
        <v>0</v>
      </c>
      <c r="N218" s="171">
        <f t="shared" si="28"/>
        <v>6.971822416846468</v>
      </c>
    </row>
    <row r="219" spans="1:14" x14ac:dyDescent="0.2">
      <c r="A219" s="60"/>
      <c r="B219" s="11"/>
      <c r="C219" s="255"/>
      <c r="D219" s="120" t="s">
        <v>119</v>
      </c>
      <c r="E219" s="65">
        <v>16</v>
      </c>
      <c r="F219" s="126">
        <v>2</v>
      </c>
      <c r="G219" s="127">
        <f>($C$216+E219+E219+4)*PI()+($C$216+E219+E219+8)*PI()</f>
        <v>502.6548245743669</v>
      </c>
      <c r="H219" s="72">
        <f t="shared" si="29"/>
        <v>19.894367886486918</v>
      </c>
      <c r="I219" s="156">
        <f t="shared" si="59"/>
        <v>257.61059759436301</v>
      </c>
      <c r="J219" s="157">
        <f t="shared" si="31"/>
        <v>9.704569700725326</v>
      </c>
      <c r="K219" s="173">
        <v>73</v>
      </c>
      <c r="L219" s="173">
        <f t="shared" si="32"/>
        <v>7.5222294497554003</v>
      </c>
      <c r="M219" s="66">
        <f t="shared" si="33"/>
        <v>0</v>
      </c>
      <c r="N219" s="171">
        <f t="shared" si="28"/>
        <v>7.5222294497554003</v>
      </c>
    </row>
    <row r="220" spans="1:14" x14ac:dyDescent="0.2">
      <c r="A220" s="60"/>
      <c r="B220" s="11"/>
      <c r="C220" s="255"/>
      <c r="D220" s="120" t="s">
        <v>119</v>
      </c>
      <c r="E220" s="65">
        <v>19</v>
      </c>
      <c r="F220" s="126">
        <v>2</v>
      </c>
      <c r="G220" s="127">
        <f>($C$216+E220+E220+4)*PI()+($C$216+E220+E220+8)*PI()</f>
        <v>540.3539364174444</v>
      </c>
      <c r="H220" s="72">
        <f t="shared" si="29"/>
        <v>18.506388731615736</v>
      </c>
      <c r="I220" s="156">
        <f t="shared" si="59"/>
        <v>276.46015351590177</v>
      </c>
      <c r="J220" s="157">
        <f t="shared" si="31"/>
        <v>9.0428944938576912</v>
      </c>
      <c r="K220" s="173">
        <v>73</v>
      </c>
      <c r="L220" s="173">
        <f t="shared" si="32"/>
        <v>8.0726364826643309</v>
      </c>
      <c r="M220" s="66">
        <f t="shared" si="33"/>
        <v>0</v>
      </c>
      <c r="N220" s="171">
        <f t="shared" si="28"/>
        <v>8.0726364826643309</v>
      </c>
    </row>
    <row r="221" spans="1:14" x14ac:dyDescent="0.2">
      <c r="A221" s="60"/>
      <c r="B221" s="11"/>
      <c r="C221" s="255"/>
      <c r="D221" s="120" t="s">
        <v>119</v>
      </c>
      <c r="E221" s="65">
        <v>25</v>
      </c>
      <c r="F221" s="126">
        <v>3</v>
      </c>
      <c r="G221" s="127">
        <f>($C$216+E221+E221+4)*PI()+($C$216+E221+E221+8)*PI()+($C$216+E221+E221+12)*PI()</f>
        <v>942.47779607693792</v>
      </c>
      <c r="H221" s="72">
        <f t="shared" si="29"/>
        <v>10.610329539459689</v>
      </c>
      <c r="I221" s="156">
        <f t="shared" si="59"/>
        <v>326.72563597333851</v>
      </c>
      <c r="J221" s="157">
        <f t="shared" si="31"/>
        <v>7.6516799563411215</v>
      </c>
      <c r="K221" s="173">
        <v>73</v>
      </c>
      <c r="L221" s="173">
        <f t="shared" si="32"/>
        <v>9.5403885704214844</v>
      </c>
      <c r="M221" s="66">
        <f t="shared" si="33"/>
        <v>0</v>
      </c>
      <c r="N221" s="171">
        <f t="shared" si="28"/>
        <v>9.5403885704214844</v>
      </c>
    </row>
    <row r="222" spans="1:14" x14ac:dyDescent="0.2">
      <c r="A222" s="60"/>
      <c r="B222" s="11"/>
      <c r="C222" s="255"/>
      <c r="D222" s="120" t="s">
        <v>119</v>
      </c>
      <c r="E222" s="65">
        <v>32</v>
      </c>
      <c r="F222" s="126">
        <v>3</v>
      </c>
      <c r="G222" s="127">
        <f>($C$216+E222+E222+4)*PI()+($C$216+E222+E222+8)*PI()+($C$216+E222+E222+12)*PI()</f>
        <v>1074.4246875277092</v>
      </c>
      <c r="H222" s="72">
        <f t="shared" si="29"/>
        <v>9.3073066135611313</v>
      </c>
      <c r="I222" s="156">
        <f t="shared" si="59"/>
        <v>370.70793312359558</v>
      </c>
      <c r="J222" s="157">
        <f t="shared" si="31"/>
        <v>6.7438535208430235</v>
      </c>
      <c r="K222" s="173">
        <v>73</v>
      </c>
      <c r="L222" s="173">
        <f t="shared" si="32"/>
        <v>10.824671647208991</v>
      </c>
      <c r="M222" s="66">
        <f t="shared" si="33"/>
        <v>0</v>
      </c>
      <c r="N222" s="171">
        <f t="shared" si="28"/>
        <v>10.824671647208991</v>
      </c>
    </row>
    <row r="223" spans="1:14" x14ac:dyDescent="0.2">
      <c r="A223" s="60"/>
      <c r="B223" s="11"/>
      <c r="C223" s="255"/>
      <c r="D223" s="120" t="s">
        <v>119</v>
      </c>
      <c r="E223" s="65">
        <v>40</v>
      </c>
      <c r="F223" s="126">
        <v>4</v>
      </c>
      <c r="G223" s="127">
        <f>($C$216+E223+E223+4)*PI()+($C$216+E223+E223+8)*PI()+($C$216+E223+E223+12)*PI()+($C$216+E223+E223+16)*PI()</f>
        <v>1658.7609210954106</v>
      </c>
      <c r="H223" s="72">
        <f t="shared" si="29"/>
        <v>6.0285963292384608</v>
      </c>
      <c r="I223" s="156">
        <f t="shared" si="59"/>
        <v>433.53978619539146</v>
      </c>
      <c r="J223" s="157">
        <f t="shared" si="31"/>
        <v>5.766483445358527</v>
      </c>
      <c r="K223" s="173">
        <v>73</v>
      </c>
      <c r="L223" s="173">
        <f t="shared" si="32"/>
        <v>12.65936175690543</v>
      </c>
      <c r="M223" s="66">
        <f t="shared" si="33"/>
        <v>0</v>
      </c>
      <c r="N223" s="171">
        <f t="shared" si="28"/>
        <v>12.65936175690543</v>
      </c>
    </row>
    <row r="224" spans="1:14" x14ac:dyDescent="0.2">
      <c r="A224" s="60"/>
      <c r="B224" s="11"/>
      <c r="C224" s="255"/>
      <c r="D224" s="120" t="s">
        <v>119</v>
      </c>
      <c r="E224" s="65">
        <v>50</v>
      </c>
      <c r="F224" s="126">
        <v>4</v>
      </c>
      <c r="G224" s="127">
        <f>($C$216+E224+E224+4)*PI()+($C$216+E224+E224+8)*PI()+($C$216+E224+E224+12)*PI()+($C$216+E224+E224+16)*PI()</f>
        <v>1910.0883333825941</v>
      </c>
      <c r="H224" s="72">
        <f t="shared" si="29"/>
        <v>5.2353599701281368</v>
      </c>
      <c r="I224" s="156">
        <f t="shared" si="59"/>
        <v>496.37163926718733</v>
      </c>
      <c r="J224" s="157">
        <f t="shared" si="31"/>
        <v>5.036548832022004</v>
      </c>
      <c r="K224" s="173">
        <v>73</v>
      </c>
      <c r="L224" s="173">
        <f t="shared" si="32"/>
        <v>14.494051866601872</v>
      </c>
      <c r="M224" s="66">
        <f t="shared" si="33"/>
        <v>0</v>
      </c>
      <c r="N224" s="171">
        <f t="shared" si="28"/>
        <v>14.494051866601872</v>
      </c>
    </row>
    <row r="225" spans="1:14" x14ac:dyDescent="0.2">
      <c r="A225" s="60"/>
      <c r="B225" s="11"/>
      <c r="C225" s="255">
        <v>54</v>
      </c>
      <c r="D225" s="120" t="s">
        <v>119</v>
      </c>
      <c r="E225" s="65">
        <v>9</v>
      </c>
      <c r="F225" s="126">
        <v>1</v>
      </c>
      <c r="G225" s="127">
        <f>($C$225+E225+E225+4)*PI()</f>
        <v>238.76104167282426</v>
      </c>
      <c r="H225" s="72">
        <f t="shared" si="29"/>
        <v>41.882879761025094</v>
      </c>
      <c r="I225" s="156">
        <f>($C$225+(E225*2)+(F225*2*2))*PI()</f>
        <v>238.76104167282426</v>
      </c>
      <c r="J225" s="157">
        <f t="shared" si="31"/>
        <v>10.470719940256274</v>
      </c>
      <c r="K225" s="173">
        <v>73</v>
      </c>
      <c r="L225" s="173">
        <f t="shared" si="32"/>
        <v>6.971822416846468</v>
      </c>
      <c r="M225" s="66">
        <f t="shared" si="33"/>
        <v>0</v>
      </c>
      <c r="N225" s="171">
        <f t="shared" si="28"/>
        <v>6.971822416846468</v>
      </c>
    </row>
    <row r="226" spans="1:14" x14ac:dyDescent="0.2">
      <c r="A226" s="60"/>
      <c r="B226" s="11"/>
      <c r="C226" s="255"/>
      <c r="D226" s="120" t="s">
        <v>119</v>
      </c>
      <c r="E226" s="65">
        <v>10</v>
      </c>
      <c r="F226" s="126">
        <v>2</v>
      </c>
      <c r="G226" s="127">
        <f>($C$225+E226+E226+4)*PI()+($C$225+E226+E226+8)*PI()</f>
        <v>502.6548245743669</v>
      </c>
      <c r="H226" s="72">
        <f t="shared" si="29"/>
        <v>19.894367886486918</v>
      </c>
      <c r="I226" s="156">
        <f t="shared" ref="I226:I233" si="60">($C$225+(E226*2)+(F226*2*2))*PI()</f>
        <v>257.61059759436301</v>
      </c>
      <c r="J226" s="157">
        <f t="shared" si="31"/>
        <v>9.704569700725326</v>
      </c>
      <c r="K226" s="173">
        <v>73</v>
      </c>
      <c r="L226" s="173">
        <f t="shared" si="32"/>
        <v>7.5222294497554003</v>
      </c>
      <c r="M226" s="66">
        <f t="shared" si="33"/>
        <v>0</v>
      </c>
      <c r="N226" s="171">
        <f t="shared" si="28"/>
        <v>7.5222294497554003</v>
      </c>
    </row>
    <row r="227" spans="1:14" x14ac:dyDescent="0.2">
      <c r="A227" s="60"/>
      <c r="B227" s="11"/>
      <c r="C227" s="255"/>
      <c r="D227" s="120" t="s">
        <v>119</v>
      </c>
      <c r="E227" s="65">
        <v>13</v>
      </c>
      <c r="F227" s="126">
        <v>2</v>
      </c>
      <c r="G227" s="127">
        <f>($C$225+E227+E227+4)*PI()+($C$225+E227+E227+8)*PI()</f>
        <v>540.3539364174444</v>
      </c>
      <c r="H227" s="72">
        <f t="shared" si="29"/>
        <v>18.506388731615736</v>
      </c>
      <c r="I227" s="156">
        <f t="shared" si="60"/>
        <v>276.46015351590177</v>
      </c>
      <c r="J227" s="157">
        <f t="shared" si="31"/>
        <v>9.0428944938576912</v>
      </c>
      <c r="K227" s="173">
        <v>73</v>
      </c>
      <c r="L227" s="173">
        <f t="shared" si="32"/>
        <v>8.0726364826643309</v>
      </c>
      <c r="M227" s="66">
        <f t="shared" si="33"/>
        <v>0</v>
      </c>
      <c r="N227" s="171">
        <f t="shared" si="28"/>
        <v>8.0726364826643309</v>
      </c>
    </row>
    <row r="228" spans="1:14" x14ac:dyDescent="0.2">
      <c r="A228" s="60"/>
      <c r="B228" s="11"/>
      <c r="C228" s="255"/>
      <c r="D228" s="120" t="s">
        <v>119</v>
      </c>
      <c r="E228" s="65">
        <v>16</v>
      </c>
      <c r="F228" s="126">
        <v>2</v>
      </c>
      <c r="G228" s="127">
        <f>($C$225+E228+E228+4)*PI()+($C$225+E228+E228+8)*PI()</f>
        <v>578.05304826052202</v>
      </c>
      <c r="H228" s="72">
        <f t="shared" si="29"/>
        <v>17.299450336075576</v>
      </c>
      <c r="I228" s="156">
        <f t="shared" si="60"/>
        <v>295.30970943744057</v>
      </c>
      <c r="J228" s="157">
        <f t="shared" si="31"/>
        <v>8.4656884623348585</v>
      </c>
      <c r="K228" s="173">
        <v>73</v>
      </c>
      <c r="L228" s="173">
        <f t="shared" si="32"/>
        <v>8.623043515573265</v>
      </c>
      <c r="M228" s="66">
        <f t="shared" si="33"/>
        <v>0</v>
      </c>
      <c r="N228" s="171">
        <f t="shared" si="28"/>
        <v>8.623043515573265</v>
      </c>
    </row>
    <row r="229" spans="1:14" x14ac:dyDescent="0.2">
      <c r="A229" s="60"/>
      <c r="B229" s="11"/>
      <c r="C229" s="255"/>
      <c r="D229" s="120" t="s">
        <v>119</v>
      </c>
      <c r="E229" s="65">
        <v>19</v>
      </c>
      <c r="F229" s="126">
        <v>2</v>
      </c>
      <c r="G229" s="127">
        <f>($C$225+E229+E229+4)*PI()+($C$225+E229+E229+8)*PI()</f>
        <v>615.75216010359941</v>
      </c>
      <c r="H229" s="72">
        <f t="shared" si="29"/>
        <v>16.240300315499525</v>
      </c>
      <c r="I229" s="156">
        <f t="shared" si="60"/>
        <v>314.15926535897933</v>
      </c>
      <c r="J229" s="157">
        <f t="shared" si="31"/>
        <v>7.9577471545947667</v>
      </c>
      <c r="K229" s="173">
        <v>73</v>
      </c>
      <c r="L229" s="173">
        <f t="shared" si="32"/>
        <v>9.1734505484821955</v>
      </c>
      <c r="M229" s="66">
        <f t="shared" si="33"/>
        <v>0</v>
      </c>
      <c r="N229" s="171">
        <f t="shared" si="28"/>
        <v>9.1734505484821955</v>
      </c>
    </row>
    <row r="230" spans="1:14" x14ac:dyDescent="0.2">
      <c r="A230" s="60"/>
      <c r="B230" s="11"/>
      <c r="C230" s="255"/>
      <c r="D230" s="120" t="s">
        <v>119</v>
      </c>
      <c r="E230" s="65">
        <v>25</v>
      </c>
      <c r="F230" s="126">
        <v>3</v>
      </c>
      <c r="G230" s="127">
        <f>($C$225+E230+E230+4)*PI()+($C$225+E230+E230+8)*PI()+($C$225+E230+E230+12)*PI()</f>
        <v>1055.5751316061705</v>
      </c>
      <c r="H230" s="72">
        <f t="shared" si="29"/>
        <v>9.4735085173747215</v>
      </c>
      <c r="I230" s="156">
        <f t="shared" si="60"/>
        <v>364.42474781641602</v>
      </c>
      <c r="J230" s="157">
        <f t="shared" si="31"/>
        <v>6.8601268574092815</v>
      </c>
      <c r="K230" s="173">
        <v>73</v>
      </c>
      <c r="L230" s="173">
        <f t="shared" si="32"/>
        <v>10.641202636239347</v>
      </c>
      <c r="M230" s="66">
        <f t="shared" si="33"/>
        <v>0</v>
      </c>
      <c r="N230" s="171">
        <f t="shared" si="28"/>
        <v>10.641202636239347</v>
      </c>
    </row>
    <row r="231" spans="1:14" x14ac:dyDescent="0.2">
      <c r="A231" s="60"/>
      <c r="B231" s="11"/>
      <c r="C231" s="255"/>
      <c r="D231" s="120" t="s">
        <v>119</v>
      </c>
      <c r="E231" s="65">
        <v>32</v>
      </c>
      <c r="F231" s="126">
        <v>3</v>
      </c>
      <c r="G231" s="127">
        <f>($C$225+E231+E231+4)*PI()+($C$225+E231+E231+8)*PI()+($C$225+E231+E231+12)*PI()</f>
        <v>1187.5220230569419</v>
      </c>
      <c r="H231" s="72">
        <f t="shared" si="29"/>
        <v>8.4208964598886418</v>
      </c>
      <c r="I231" s="156">
        <f t="shared" si="60"/>
        <v>408.40704496667308</v>
      </c>
      <c r="J231" s="157">
        <f t="shared" si="31"/>
        <v>6.1213439650728985</v>
      </c>
      <c r="K231" s="173">
        <v>73</v>
      </c>
      <c r="L231" s="173">
        <f t="shared" si="32"/>
        <v>11.925485713026854</v>
      </c>
      <c r="M231" s="66">
        <f t="shared" si="33"/>
        <v>0</v>
      </c>
      <c r="N231" s="171">
        <f t="shared" si="28"/>
        <v>11.925485713026854</v>
      </c>
    </row>
    <row r="232" spans="1:14" x14ac:dyDescent="0.2">
      <c r="A232" s="60"/>
      <c r="B232" s="11"/>
      <c r="C232" s="255"/>
      <c r="D232" s="120" t="s">
        <v>119</v>
      </c>
      <c r="E232" s="65">
        <v>40</v>
      </c>
      <c r="F232" s="126">
        <v>4</v>
      </c>
      <c r="G232" s="127">
        <f>($C$225+E232+E232+4)*PI()+($C$225+E232+E232+8)*PI()+($C$225+E232+E232+12)*PI()+($C$225+E232+E232+16)*PI()</f>
        <v>1809.5573684677208</v>
      </c>
      <c r="H232" s="72">
        <f t="shared" si="29"/>
        <v>5.5262133018019215</v>
      </c>
      <c r="I232" s="156">
        <f t="shared" si="60"/>
        <v>471.23889803846896</v>
      </c>
      <c r="J232" s="157">
        <f t="shared" si="31"/>
        <v>5.3051647697298447</v>
      </c>
      <c r="K232" s="173">
        <v>73</v>
      </c>
      <c r="L232" s="173">
        <f t="shared" si="32"/>
        <v>13.760175822723294</v>
      </c>
      <c r="M232" s="66">
        <f t="shared" si="33"/>
        <v>0</v>
      </c>
      <c r="N232" s="171">
        <f t="shared" si="28"/>
        <v>13.760175822723294</v>
      </c>
    </row>
    <row r="233" spans="1:14" x14ac:dyDescent="0.2">
      <c r="A233" s="60"/>
      <c r="B233" s="11"/>
      <c r="C233" s="255"/>
      <c r="D233" s="120" t="s">
        <v>119</v>
      </c>
      <c r="E233" s="65">
        <v>50</v>
      </c>
      <c r="F233" s="126">
        <v>4</v>
      </c>
      <c r="G233" s="127">
        <f>($C$225+E233+E233+4)*PI()+($C$225+E233+E233+8)*PI()+($C$225+E233+E233+12)*PI()+($C$225+E233+E233+16)*PI()</f>
        <v>2060.8847807549046</v>
      </c>
      <c r="H233" s="72">
        <f t="shared" si="29"/>
        <v>4.8522848503626621</v>
      </c>
      <c r="I233" s="156">
        <f t="shared" si="60"/>
        <v>534.07075111026484</v>
      </c>
      <c r="J233" s="157">
        <f t="shared" si="31"/>
        <v>4.6810277379969216</v>
      </c>
      <c r="K233" s="173">
        <v>73</v>
      </c>
      <c r="L233" s="173">
        <f t="shared" si="32"/>
        <v>15.594865932419733</v>
      </c>
      <c r="M233" s="66">
        <f t="shared" si="33"/>
        <v>0</v>
      </c>
      <c r="N233" s="171">
        <f t="shared" si="28"/>
        <v>15.594865932419733</v>
      </c>
    </row>
  </sheetData>
  <sheetProtection algorithmName="SHA-512" hashValue="1hSe3zghc2K+7DW3ABYRsR9b++IkXVEwGGCTx+ZHgdM8cleuVPs6AQRLD06SAalRYa5wk2oOsBIY+ZR3iAmIng==" saltValue="IzZWNXsUZ5jJ0cPe0LQtbQ==" spinCount="100000" sheet="1" objects="1" scenarios="1"/>
  <mergeCells count="35">
    <mergeCell ref="K13:K14"/>
    <mergeCell ref="J13:J14"/>
    <mergeCell ref="H13:I14"/>
    <mergeCell ref="H15:I15"/>
    <mergeCell ref="C144:C152"/>
    <mergeCell ref="B19:N19"/>
    <mergeCell ref="C41:C49"/>
    <mergeCell ref="C50:C58"/>
    <mergeCell ref="C59:C67"/>
    <mergeCell ref="C68:C76"/>
    <mergeCell ref="C77:C85"/>
    <mergeCell ref="C86:C94"/>
    <mergeCell ref="C23:C31"/>
    <mergeCell ref="C32:C40"/>
    <mergeCell ref="C207:C215"/>
    <mergeCell ref="C216:C224"/>
    <mergeCell ref="C225:C233"/>
    <mergeCell ref="B21:N21"/>
    <mergeCell ref="C198:C206"/>
    <mergeCell ref="C189:C197"/>
    <mergeCell ref="C180:C188"/>
    <mergeCell ref="C171:C179"/>
    <mergeCell ref="C162:C170"/>
    <mergeCell ref="C153:C161"/>
    <mergeCell ref="B142:N142"/>
    <mergeCell ref="C95:C103"/>
    <mergeCell ref="C104:C112"/>
    <mergeCell ref="C113:C121"/>
    <mergeCell ref="C122:C130"/>
    <mergeCell ref="C131:C139"/>
    <mergeCell ref="H10:I10"/>
    <mergeCell ref="D13:D15"/>
    <mergeCell ref="E13:E14"/>
    <mergeCell ref="F13:F14"/>
    <mergeCell ref="G13:G14"/>
  </mergeCells>
  <hyperlinks>
    <hyperlink ref="H10:I10" location="SYSTEMY!A1" display="MENU GŁÓWNE" xr:uid="{00000000-0004-0000-0300-000000000000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0" orientation="landscape" r:id="rId1"/>
  <rowBreaks count="1" manualBreakCount="1">
    <brk id="20" min="1" max="14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2">
    <tabColor theme="1" tint="0.34998626667073579"/>
  </sheetPr>
  <dimension ref="A1:P162"/>
  <sheetViews>
    <sheetView showGridLines="0" zoomScale="75" zoomScaleNormal="75" workbookViewId="0">
      <selection activeCell="A2" sqref="A2"/>
    </sheetView>
  </sheetViews>
  <sheetFormatPr defaultColWidth="0" defaultRowHeight="14.1" customHeight="1" x14ac:dyDescent="0.2"/>
  <cols>
    <col min="1" max="1" width="7.5703125" style="25" customWidth="1"/>
    <col min="2" max="2" width="11.42578125" style="25" customWidth="1"/>
    <col min="3" max="3" width="14.5703125" style="25" customWidth="1"/>
    <col min="4" max="4" width="12.28515625" style="25" customWidth="1"/>
    <col min="5" max="5" width="12.7109375" style="25" customWidth="1"/>
    <col min="6" max="6" width="11.28515625" style="25" customWidth="1"/>
    <col min="7" max="7" width="10" style="25" customWidth="1"/>
    <col min="8" max="8" width="12.140625" style="25" customWidth="1"/>
    <col min="9" max="9" width="11.42578125" style="25" customWidth="1"/>
    <col min="10" max="12" width="15.7109375" style="25" customWidth="1"/>
    <col min="13" max="13" width="13.140625" style="25" customWidth="1"/>
    <col min="14" max="14" width="13.28515625" style="25" customWidth="1"/>
    <col min="15" max="15" width="11.42578125" style="25" customWidth="1"/>
    <col min="16" max="16" width="9.140625" style="25" customWidth="1"/>
    <col min="17" max="16384" width="9.140625" style="25" hidden="1"/>
  </cols>
  <sheetData>
    <row r="1" spans="1:13" ht="14.1" customHeight="1" x14ac:dyDescent="0.2">
      <c r="A1" s="21"/>
      <c r="B1" s="22"/>
      <c r="C1" s="23"/>
      <c r="D1" s="23"/>
      <c r="E1" s="23"/>
      <c r="F1" s="23"/>
      <c r="G1" s="22"/>
      <c r="H1" s="22"/>
      <c r="I1" s="23"/>
      <c r="J1" s="24"/>
      <c r="K1" s="21"/>
    </row>
    <row r="2" spans="1:13" ht="14.1" customHeight="1" x14ac:dyDescent="0.2">
      <c r="A2" s="21"/>
      <c r="B2" s="22"/>
      <c r="C2" s="23"/>
      <c r="D2" s="23"/>
      <c r="E2" s="23"/>
      <c r="F2" s="23"/>
      <c r="G2" s="22"/>
      <c r="H2" s="22"/>
      <c r="I2" s="23"/>
      <c r="J2" s="24"/>
      <c r="K2" s="21"/>
    </row>
    <row r="3" spans="1:13" ht="14.1" customHeight="1" x14ac:dyDescent="0.2">
      <c r="A3" s="136"/>
      <c r="B3" s="22"/>
      <c r="C3" s="135"/>
      <c r="D3" s="135"/>
      <c r="E3" s="135"/>
      <c r="F3" s="135"/>
      <c r="G3" s="22"/>
      <c r="H3" s="22"/>
      <c r="I3" s="135"/>
      <c r="J3" s="24"/>
      <c r="K3" s="136"/>
    </row>
    <row r="4" spans="1:13" ht="14.1" customHeight="1" x14ac:dyDescent="0.2">
      <c r="A4" s="136"/>
      <c r="B4" s="22"/>
      <c r="C4" s="135"/>
      <c r="D4" s="135"/>
      <c r="E4" s="135"/>
      <c r="F4" s="135"/>
      <c r="G4" s="22"/>
      <c r="H4" s="22"/>
      <c r="I4" s="135"/>
      <c r="J4" s="24"/>
      <c r="K4" s="136"/>
    </row>
    <row r="5" spans="1:13" ht="14.1" customHeight="1" x14ac:dyDescent="0.2">
      <c r="A5" s="21"/>
      <c r="B5" s="22"/>
      <c r="C5" s="23"/>
      <c r="D5" s="23"/>
      <c r="E5" s="23"/>
      <c r="F5" s="23"/>
      <c r="G5" s="22"/>
      <c r="H5" s="22"/>
      <c r="I5" s="23"/>
      <c r="J5" s="24"/>
      <c r="K5" s="21"/>
    </row>
    <row r="6" spans="1:13" ht="14.1" customHeight="1" x14ac:dyDescent="0.2">
      <c r="A6" s="21"/>
      <c r="B6" s="22"/>
      <c r="C6" s="23"/>
      <c r="D6" s="23"/>
      <c r="E6" s="23"/>
      <c r="F6" s="23"/>
      <c r="G6" s="22"/>
      <c r="H6" s="22"/>
      <c r="I6" s="23"/>
      <c r="J6" s="24"/>
      <c r="K6" s="21"/>
    </row>
    <row r="7" spans="1:13" ht="14.1" customHeight="1" x14ac:dyDescent="0.2">
      <c r="A7" s="21"/>
      <c r="B7" s="22"/>
      <c r="C7" s="23"/>
      <c r="D7" s="23"/>
      <c r="E7" s="23"/>
      <c r="F7" s="23"/>
      <c r="G7" s="22"/>
      <c r="H7" s="22"/>
      <c r="I7" s="23"/>
      <c r="J7" s="24"/>
      <c r="K7" s="21"/>
    </row>
    <row r="8" spans="1:13" ht="13.5" customHeight="1" x14ac:dyDescent="0.2">
      <c r="A8" s="21"/>
      <c r="B8" s="22"/>
      <c r="C8" s="23"/>
      <c r="D8" s="23"/>
      <c r="E8" s="23"/>
      <c r="F8" s="23"/>
      <c r="G8" s="22"/>
      <c r="H8" s="22"/>
      <c r="I8" s="23"/>
      <c r="J8" s="24"/>
      <c r="K8" s="21"/>
    </row>
    <row r="9" spans="1:13" ht="18" customHeight="1" x14ac:dyDescent="0.2">
      <c r="A9" s="21"/>
      <c r="B9" s="22"/>
      <c r="C9" s="23"/>
      <c r="D9" s="23"/>
      <c r="E9" s="23"/>
      <c r="F9" s="23"/>
      <c r="G9" s="22"/>
      <c r="H9" s="22"/>
      <c r="I9" s="23"/>
      <c r="J9" s="24"/>
      <c r="K9" s="21"/>
    </row>
    <row r="10" spans="1:13" ht="18" customHeight="1" x14ac:dyDescent="0.2">
      <c r="A10" s="21"/>
      <c r="B10" s="221" t="s">
        <v>72</v>
      </c>
      <c r="C10" s="221"/>
      <c r="D10" s="221"/>
      <c r="E10" s="221"/>
      <c r="I10" s="26"/>
      <c r="J10" s="26"/>
      <c r="K10" s="27"/>
      <c r="L10" s="142" t="s">
        <v>74</v>
      </c>
      <c r="M10" s="142" t="s">
        <v>75</v>
      </c>
    </row>
    <row r="11" spans="1:13" ht="18" customHeight="1" x14ac:dyDescent="0.25">
      <c r="A11" s="109"/>
      <c r="B11" s="273" t="s">
        <v>55</v>
      </c>
      <c r="C11" s="273"/>
      <c r="D11" s="273"/>
      <c r="E11" s="273"/>
      <c r="I11" s="270" t="s">
        <v>54</v>
      </c>
      <c r="J11" s="270"/>
      <c r="K11" s="270"/>
      <c r="L11" s="28">
        <f>$K$45+$K$54</f>
        <v>0</v>
      </c>
      <c r="M11" s="178">
        <f>$K$44+$K$53</f>
        <v>0</v>
      </c>
    </row>
    <row r="12" spans="1:13" ht="18" customHeight="1" x14ac:dyDescent="0.25">
      <c r="A12" s="21"/>
      <c r="B12" s="273" t="s">
        <v>56</v>
      </c>
      <c r="C12" s="273"/>
      <c r="D12" s="273"/>
      <c r="E12" s="273"/>
      <c r="I12" s="270" t="s">
        <v>133</v>
      </c>
      <c r="J12" s="270"/>
      <c r="K12" s="270"/>
      <c r="L12" s="28">
        <f>$K$45+$K$54</f>
        <v>0</v>
      </c>
      <c r="M12" s="178">
        <f>$L$44+$L$53</f>
        <v>0</v>
      </c>
    </row>
    <row r="13" spans="1:13" ht="18" customHeight="1" x14ac:dyDescent="0.25">
      <c r="A13" s="21"/>
      <c r="B13" s="273" t="s">
        <v>134</v>
      </c>
      <c r="C13" s="273"/>
      <c r="D13" s="273"/>
      <c r="E13" s="273"/>
      <c r="I13" s="274" t="s">
        <v>57</v>
      </c>
      <c r="J13" s="270"/>
      <c r="K13" s="270"/>
      <c r="L13" s="28">
        <f>N106</f>
        <v>0</v>
      </c>
      <c r="M13" s="275">
        <f>N105</f>
        <v>0</v>
      </c>
    </row>
    <row r="14" spans="1:13" ht="18" customHeight="1" x14ac:dyDescent="0.25">
      <c r="A14" s="21"/>
      <c r="B14" s="273" t="s">
        <v>13</v>
      </c>
      <c r="C14" s="273"/>
      <c r="D14" s="273"/>
      <c r="E14" s="273"/>
      <c r="I14" s="270"/>
      <c r="J14" s="270"/>
      <c r="K14" s="270"/>
      <c r="L14" s="28">
        <f>N107</f>
        <v>0</v>
      </c>
      <c r="M14" s="275"/>
    </row>
    <row r="15" spans="1:13" ht="18" customHeight="1" x14ac:dyDescent="0.2">
      <c r="A15" s="21"/>
      <c r="I15" s="274" t="s">
        <v>135</v>
      </c>
      <c r="J15" s="270"/>
      <c r="K15" s="270"/>
      <c r="L15" s="28">
        <f>N138</f>
        <v>0</v>
      </c>
      <c r="M15" s="275">
        <f>N137</f>
        <v>0</v>
      </c>
    </row>
    <row r="16" spans="1:13" ht="18" customHeight="1" x14ac:dyDescent="0.2">
      <c r="A16" s="21"/>
      <c r="I16" s="270"/>
      <c r="J16" s="270"/>
      <c r="K16" s="270"/>
      <c r="L16" s="28">
        <f>N139</f>
        <v>0</v>
      </c>
      <c r="M16" s="275"/>
    </row>
    <row r="17" spans="1:16" ht="18" customHeight="1" x14ac:dyDescent="0.2">
      <c r="A17" s="21"/>
      <c r="I17" s="270" t="s">
        <v>13</v>
      </c>
      <c r="J17" s="270"/>
      <c r="K17" s="270"/>
      <c r="L17" s="29">
        <f>N160</f>
        <v>0</v>
      </c>
      <c r="M17" s="178">
        <f>N159</f>
        <v>0</v>
      </c>
    </row>
    <row r="18" spans="1:16" ht="18" customHeight="1" x14ac:dyDescent="0.25">
      <c r="A18" s="21"/>
      <c r="F18" s="30"/>
      <c r="I18" s="26"/>
      <c r="J18" s="26"/>
      <c r="K18" s="26"/>
      <c r="L18" s="143" t="s">
        <v>86</v>
      </c>
      <c r="M18" s="179">
        <f>SUM(M12:M16)</f>
        <v>0</v>
      </c>
    </row>
    <row r="19" spans="1:16" ht="18" customHeight="1" x14ac:dyDescent="0.25">
      <c r="A19" s="21"/>
      <c r="B19" s="30"/>
      <c r="C19" s="30"/>
      <c r="D19" s="30"/>
      <c r="E19" s="30"/>
      <c r="F19" s="30"/>
    </row>
    <row r="20" spans="1:16" ht="18" customHeight="1" x14ac:dyDescent="0.25">
      <c r="A20" s="21"/>
      <c r="B20" s="30"/>
      <c r="C20" s="30"/>
      <c r="D20" s="30"/>
      <c r="E20" s="30"/>
      <c r="H20" s="272" t="s">
        <v>73</v>
      </c>
      <c r="I20" s="272"/>
    </row>
    <row r="21" spans="1:16" ht="18" customHeight="1" x14ac:dyDescent="0.2">
      <c r="A21" s="21"/>
      <c r="B21" s="31"/>
      <c r="C21" s="31"/>
      <c r="D21" s="31"/>
      <c r="E21" s="31"/>
    </row>
    <row r="22" spans="1:16" s="32" customFormat="1" ht="30" customHeight="1" x14ac:dyDescent="0.3">
      <c r="A22" s="224" t="s">
        <v>53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</row>
    <row r="23" spans="1:16" ht="14.1" customHeight="1" x14ac:dyDescent="0.2">
      <c r="A23" s="21"/>
      <c r="B23" s="21"/>
      <c r="C23" s="22"/>
      <c r="D23" s="23"/>
    </row>
    <row r="24" spans="1:16" ht="14.1" customHeight="1" x14ac:dyDescent="0.2">
      <c r="A24" s="23"/>
    </row>
    <row r="25" spans="1:16" ht="28.5" customHeight="1" x14ac:dyDescent="0.2">
      <c r="A25" s="23"/>
      <c r="B25" s="228" t="s">
        <v>136</v>
      </c>
      <c r="C25" s="228"/>
      <c r="D25" s="228"/>
      <c r="E25" s="228"/>
    </row>
    <row r="26" spans="1:16" ht="14.1" customHeight="1" x14ac:dyDescent="0.2">
      <c r="A26" s="23"/>
      <c r="B26" s="276" t="s">
        <v>137</v>
      </c>
      <c r="C26" s="276"/>
      <c r="D26" s="276"/>
      <c r="E26" s="4">
        <v>0</v>
      </c>
      <c r="J26" s="225" t="s">
        <v>142</v>
      </c>
      <c r="K26" s="225"/>
      <c r="L26" s="225"/>
      <c r="M26" s="225"/>
    </row>
    <row r="27" spans="1:16" ht="14.1" customHeight="1" x14ac:dyDescent="0.2">
      <c r="A27" s="23"/>
      <c r="B27" s="276" t="s">
        <v>138</v>
      </c>
      <c r="C27" s="276"/>
      <c r="D27" s="276"/>
      <c r="E27" s="4">
        <v>0</v>
      </c>
      <c r="J27" s="271" t="s">
        <v>143</v>
      </c>
      <c r="K27" s="271"/>
      <c r="L27" s="271"/>
      <c r="M27" s="271"/>
    </row>
    <row r="28" spans="1:16" ht="14.1" customHeight="1" x14ac:dyDescent="0.2">
      <c r="A28" s="23"/>
      <c r="B28" s="276" t="s">
        <v>156</v>
      </c>
      <c r="C28" s="276"/>
      <c r="D28" s="276"/>
      <c r="E28" s="4">
        <v>0</v>
      </c>
      <c r="J28" s="194" t="s">
        <v>144</v>
      </c>
      <c r="K28" s="194"/>
      <c r="L28" s="194"/>
      <c r="M28" s="194"/>
    </row>
    <row r="29" spans="1:16" ht="14.1" customHeight="1" x14ac:dyDescent="0.2">
      <c r="A29" s="23"/>
      <c r="B29" s="276" t="s">
        <v>139</v>
      </c>
      <c r="C29" s="276"/>
      <c r="D29" s="276"/>
      <c r="E29" s="4">
        <v>310</v>
      </c>
      <c r="J29" s="194" t="s">
        <v>145</v>
      </c>
      <c r="K29" s="194"/>
      <c r="L29" s="194"/>
      <c r="M29" s="194"/>
    </row>
    <row r="30" spans="1:16" ht="14.1" customHeight="1" x14ac:dyDescent="0.2">
      <c r="A30" s="23"/>
      <c r="B30" s="284" t="s">
        <v>140</v>
      </c>
      <c r="C30" s="284"/>
      <c r="D30" s="284"/>
      <c r="E30" s="34">
        <f>(((PI()*(E26/2)^2)-(PI()*(E27/2)^2))*E28)/1000/E29</f>
        <v>0</v>
      </c>
      <c r="J30" s="194" t="s">
        <v>91</v>
      </c>
      <c r="K30" s="194"/>
      <c r="L30" s="194"/>
      <c r="M30" s="194"/>
    </row>
    <row r="31" spans="1:16" ht="14.1" customHeight="1" x14ac:dyDescent="0.2">
      <c r="J31" s="194" t="s">
        <v>92</v>
      </c>
      <c r="K31" s="194"/>
      <c r="L31" s="194"/>
      <c r="M31" s="194"/>
    </row>
    <row r="34" spans="4:15" s="26" customFormat="1" ht="20.100000000000001" customHeight="1" x14ac:dyDescent="0.2">
      <c r="D34" s="227" t="s">
        <v>146</v>
      </c>
      <c r="E34" s="227"/>
      <c r="F34" s="227"/>
      <c r="G34" s="227"/>
      <c r="H34" s="227"/>
      <c r="I34" s="227"/>
      <c r="J34" s="227"/>
      <c r="K34" s="227"/>
      <c r="L34" s="227"/>
      <c r="N34" s="35"/>
      <c r="O34" s="35"/>
    </row>
    <row r="35" spans="4:15" ht="27.75" customHeight="1" x14ac:dyDescent="0.2">
      <c r="D35" s="228" t="s">
        <v>74</v>
      </c>
      <c r="E35" s="228" t="s">
        <v>141</v>
      </c>
      <c r="F35" s="228" t="s">
        <v>148</v>
      </c>
      <c r="G35" s="228"/>
      <c r="H35" s="228"/>
      <c r="I35" s="228"/>
      <c r="J35" s="228" t="s">
        <v>150</v>
      </c>
      <c r="K35" s="228" t="s">
        <v>151</v>
      </c>
      <c r="L35" s="228" t="s">
        <v>152</v>
      </c>
    </row>
    <row r="36" spans="4:15" ht="14.1" customHeight="1" x14ac:dyDescent="0.2">
      <c r="D36" s="228"/>
      <c r="E36" s="228"/>
      <c r="F36" s="145" t="s">
        <v>0</v>
      </c>
      <c r="G36" s="145" t="s">
        <v>1</v>
      </c>
      <c r="H36" s="145" t="s">
        <v>2</v>
      </c>
      <c r="I36" s="145" t="s">
        <v>3</v>
      </c>
      <c r="J36" s="228"/>
      <c r="K36" s="228"/>
      <c r="L36" s="228"/>
    </row>
    <row r="37" spans="4:15" ht="14.1" customHeight="1" x14ac:dyDescent="0.2">
      <c r="D37" s="1"/>
      <c r="E37" s="37" t="s">
        <v>20</v>
      </c>
      <c r="F37" s="37">
        <v>0.15</v>
      </c>
      <c r="G37" s="174">
        <v>2.4</v>
      </c>
      <c r="H37" s="2">
        <v>0</v>
      </c>
      <c r="I37" s="174">
        <f>G37*(1-H37)*F37</f>
        <v>0.36</v>
      </c>
      <c r="J37" s="174">
        <f>(I37+I59+M59)</f>
        <v>0.36</v>
      </c>
      <c r="K37" s="174">
        <f>I37*D37</f>
        <v>0</v>
      </c>
      <c r="L37" s="174">
        <f>J37*D37</f>
        <v>0</v>
      </c>
    </row>
    <row r="38" spans="4:15" ht="14.1" customHeight="1" x14ac:dyDescent="0.2">
      <c r="D38" s="1"/>
      <c r="E38" s="37" t="s">
        <v>21</v>
      </c>
      <c r="F38" s="37">
        <v>0.2</v>
      </c>
      <c r="G38" s="174">
        <v>2.4</v>
      </c>
      <c r="H38" s="38">
        <f t="shared" ref="H38:H43" si="0">$H$37</f>
        <v>0</v>
      </c>
      <c r="I38" s="174">
        <f t="shared" ref="I38:I43" si="1">G38*(1-H38)*F38</f>
        <v>0.48</v>
      </c>
      <c r="J38" s="174">
        <f t="shared" ref="J38:J43" si="2">(I38+I60+M60)</f>
        <v>0.48</v>
      </c>
      <c r="K38" s="174">
        <f t="shared" ref="K38:K43" si="3">I38*D38</f>
        <v>0</v>
      </c>
      <c r="L38" s="174">
        <f t="shared" ref="L38:L43" si="4">J38*D38</f>
        <v>0</v>
      </c>
    </row>
    <row r="39" spans="4:15" ht="14.1" customHeight="1" x14ac:dyDescent="0.2">
      <c r="D39" s="1"/>
      <c r="E39" s="37" t="s">
        <v>22</v>
      </c>
      <c r="F39" s="37">
        <v>0.2</v>
      </c>
      <c r="G39" s="174">
        <v>2.4</v>
      </c>
      <c r="H39" s="38">
        <f t="shared" si="0"/>
        <v>0</v>
      </c>
      <c r="I39" s="174">
        <f t="shared" si="1"/>
        <v>0.48</v>
      </c>
      <c r="J39" s="174">
        <f t="shared" si="2"/>
        <v>0.48</v>
      </c>
      <c r="K39" s="174">
        <f t="shared" si="3"/>
        <v>0</v>
      </c>
      <c r="L39" s="174">
        <f t="shared" si="4"/>
        <v>0</v>
      </c>
    </row>
    <row r="40" spans="4:15" ht="14.1" customHeight="1" x14ac:dyDescent="0.2">
      <c r="D40" s="1"/>
      <c r="E40" s="37" t="s">
        <v>23</v>
      </c>
      <c r="F40" s="37">
        <v>0.25</v>
      </c>
      <c r="G40" s="174">
        <v>2.4</v>
      </c>
      <c r="H40" s="38">
        <f t="shared" si="0"/>
        <v>0</v>
      </c>
      <c r="I40" s="174">
        <f t="shared" si="1"/>
        <v>0.6</v>
      </c>
      <c r="J40" s="174">
        <f t="shared" si="2"/>
        <v>0.6</v>
      </c>
      <c r="K40" s="174">
        <f t="shared" si="3"/>
        <v>0</v>
      </c>
      <c r="L40" s="174">
        <f t="shared" si="4"/>
        <v>0</v>
      </c>
    </row>
    <row r="41" spans="4:15" ht="14.1" customHeight="1" x14ac:dyDescent="0.2">
      <c r="D41" s="1"/>
      <c r="E41" s="37" t="s">
        <v>24</v>
      </c>
      <c r="F41" s="37">
        <v>0.3</v>
      </c>
      <c r="G41" s="174">
        <v>2.4</v>
      </c>
      <c r="H41" s="38">
        <f t="shared" si="0"/>
        <v>0</v>
      </c>
      <c r="I41" s="174">
        <f t="shared" si="1"/>
        <v>0.72</v>
      </c>
      <c r="J41" s="174">
        <f t="shared" si="2"/>
        <v>0.72</v>
      </c>
      <c r="K41" s="174">
        <f t="shared" si="3"/>
        <v>0</v>
      </c>
      <c r="L41" s="174">
        <f t="shared" si="4"/>
        <v>0</v>
      </c>
    </row>
    <row r="42" spans="4:15" ht="14.1" customHeight="1" x14ac:dyDescent="0.2">
      <c r="D42" s="1"/>
      <c r="E42" s="37" t="s">
        <v>25</v>
      </c>
      <c r="F42" s="37">
        <v>0.35</v>
      </c>
      <c r="G42" s="174">
        <v>2.4</v>
      </c>
      <c r="H42" s="38">
        <f t="shared" si="0"/>
        <v>0</v>
      </c>
      <c r="I42" s="174">
        <f t="shared" si="1"/>
        <v>0.84</v>
      </c>
      <c r="J42" s="174">
        <f t="shared" si="2"/>
        <v>0.84</v>
      </c>
      <c r="K42" s="174">
        <f t="shared" si="3"/>
        <v>0</v>
      </c>
      <c r="L42" s="174">
        <f t="shared" si="4"/>
        <v>0</v>
      </c>
    </row>
    <row r="43" spans="4:15" ht="14.1" customHeight="1" x14ac:dyDescent="0.2">
      <c r="D43" s="1"/>
      <c r="E43" s="37" t="s">
        <v>29</v>
      </c>
      <c r="F43" s="37">
        <v>0.4</v>
      </c>
      <c r="G43" s="174">
        <v>2.4</v>
      </c>
      <c r="H43" s="38">
        <f t="shared" si="0"/>
        <v>0</v>
      </c>
      <c r="I43" s="174">
        <f t="shared" si="1"/>
        <v>0.96</v>
      </c>
      <c r="J43" s="174">
        <f t="shared" si="2"/>
        <v>0.96</v>
      </c>
      <c r="K43" s="174">
        <f t="shared" si="3"/>
        <v>0</v>
      </c>
      <c r="L43" s="174">
        <f t="shared" si="4"/>
        <v>0</v>
      </c>
    </row>
    <row r="44" spans="4:15" ht="14.1" customHeight="1" x14ac:dyDescent="0.2">
      <c r="H44" s="263" t="s">
        <v>86</v>
      </c>
      <c r="I44" s="264"/>
      <c r="J44" s="265"/>
      <c r="K44" s="167">
        <f>SUM($K$37:$K$43)</f>
        <v>0</v>
      </c>
      <c r="L44" s="167">
        <f>SUM($L$37:$L$43)</f>
        <v>0</v>
      </c>
    </row>
    <row r="45" spans="4:15" ht="14.1" customHeight="1" x14ac:dyDescent="0.2">
      <c r="H45" s="263" t="s">
        <v>153</v>
      </c>
      <c r="I45" s="264"/>
      <c r="J45" s="265"/>
      <c r="K45" s="148">
        <f>SUMPRODUCT(D37:D43,F37:F43)</f>
        <v>0</v>
      </c>
    </row>
    <row r="47" spans="4:15" s="26" customFormat="1" ht="20.100000000000001" customHeight="1" x14ac:dyDescent="0.2">
      <c r="D47" s="238" t="s">
        <v>147</v>
      </c>
      <c r="E47" s="239"/>
      <c r="F47" s="239"/>
      <c r="G47" s="239"/>
      <c r="H47" s="239"/>
      <c r="I47" s="239"/>
      <c r="J47" s="239"/>
      <c r="K47" s="239"/>
      <c r="L47" s="240"/>
      <c r="N47" s="35"/>
      <c r="O47" s="35"/>
    </row>
    <row r="48" spans="4:15" ht="27.75" customHeight="1" x14ac:dyDescent="0.2">
      <c r="D48" s="228" t="s">
        <v>74</v>
      </c>
      <c r="E48" s="228" t="s">
        <v>141</v>
      </c>
      <c r="F48" s="260" t="s">
        <v>149</v>
      </c>
      <c r="G48" s="261"/>
      <c r="H48" s="261"/>
      <c r="I48" s="262"/>
      <c r="J48" s="228" t="s">
        <v>150</v>
      </c>
      <c r="K48" s="228" t="s">
        <v>151</v>
      </c>
      <c r="L48" s="228" t="s">
        <v>152</v>
      </c>
    </row>
    <row r="49" spans="4:15" ht="14.1" customHeight="1" x14ac:dyDescent="0.2">
      <c r="D49" s="228"/>
      <c r="E49" s="228"/>
      <c r="F49" s="145" t="s">
        <v>0</v>
      </c>
      <c r="G49" s="145" t="s">
        <v>1</v>
      </c>
      <c r="H49" s="145" t="s">
        <v>2</v>
      </c>
      <c r="I49" s="145" t="s">
        <v>3</v>
      </c>
      <c r="J49" s="228"/>
      <c r="K49" s="228"/>
      <c r="L49" s="228"/>
    </row>
    <row r="50" spans="4:15" ht="14.1" customHeight="1" x14ac:dyDescent="0.2">
      <c r="D50" s="7"/>
      <c r="E50" s="110" t="s">
        <v>26</v>
      </c>
      <c r="F50" s="39">
        <v>1.7</v>
      </c>
      <c r="G50" s="174">
        <v>2.4</v>
      </c>
      <c r="H50" s="5">
        <v>0</v>
      </c>
      <c r="I50" s="174">
        <f>(G50-(G50*H50))*F50</f>
        <v>4.08</v>
      </c>
      <c r="J50" s="174">
        <f>(I50+I74+M74)</f>
        <v>4.08</v>
      </c>
      <c r="K50" s="174">
        <f>I50*D50</f>
        <v>0</v>
      </c>
      <c r="L50" s="174">
        <f>J50*D50</f>
        <v>0</v>
      </c>
    </row>
    <row r="51" spans="4:15" ht="14.1" customHeight="1" x14ac:dyDescent="0.2">
      <c r="D51" s="7"/>
      <c r="E51" s="110" t="s">
        <v>27</v>
      </c>
      <c r="F51" s="39">
        <v>1.9</v>
      </c>
      <c r="G51" s="174">
        <v>2.4</v>
      </c>
      <c r="H51" s="40">
        <f>$H$50</f>
        <v>0</v>
      </c>
      <c r="I51" s="174">
        <f>(G51-(G51*H51))*F51</f>
        <v>4.5599999999999996</v>
      </c>
      <c r="J51" s="174">
        <f>(I51+I75+M75)</f>
        <v>4.5599999999999996</v>
      </c>
      <c r="K51" s="174">
        <f t="shared" ref="K51:K52" si="5">I51*D51</f>
        <v>0</v>
      </c>
      <c r="L51" s="174">
        <f t="shared" ref="L51:L52" si="6">J51*D51</f>
        <v>0</v>
      </c>
    </row>
    <row r="52" spans="4:15" ht="14.1" customHeight="1" x14ac:dyDescent="0.2">
      <c r="D52" s="7"/>
      <c r="E52" s="110" t="s">
        <v>28</v>
      </c>
      <c r="F52" s="39">
        <v>2.5</v>
      </c>
      <c r="G52" s="174">
        <v>2.4</v>
      </c>
      <c r="H52" s="40">
        <f>$H$50</f>
        <v>0</v>
      </c>
      <c r="I52" s="174">
        <f>(G52-(G52*H52))*F52</f>
        <v>6</v>
      </c>
      <c r="J52" s="174">
        <f>(I52+I76+M76)</f>
        <v>6</v>
      </c>
      <c r="K52" s="174">
        <f t="shared" si="5"/>
        <v>0</v>
      </c>
      <c r="L52" s="174">
        <f t="shared" si="6"/>
        <v>0</v>
      </c>
    </row>
    <row r="53" spans="4:15" ht="14.1" customHeight="1" x14ac:dyDescent="0.2">
      <c r="H53" s="263" t="s">
        <v>86</v>
      </c>
      <c r="I53" s="264"/>
      <c r="J53" s="265"/>
      <c r="K53" s="167">
        <f>SUM($K$50:$K$52)</f>
        <v>0</v>
      </c>
      <c r="L53" s="167">
        <f>SUM($L$50:$L$52)</f>
        <v>0</v>
      </c>
    </row>
    <row r="54" spans="4:15" ht="14.1" customHeight="1" x14ac:dyDescent="0.2">
      <c r="H54" s="263" t="s">
        <v>153</v>
      </c>
      <c r="I54" s="264"/>
      <c r="J54" s="265"/>
      <c r="K54" s="148">
        <f>SUMPRODUCT(D50:D52,F50:F52)</f>
        <v>0</v>
      </c>
    </row>
    <row r="56" spans="4:15" s="26" customFormat="1" ht="20.100000000000001" customHeight="1" x14ac:dyDescent="0.2">
      <c r="D56" s="238" t="s">
        <v>146</v>
      </c>
      <c r="E56" s="239"/>
      <c r="F56" s="239"/>
      <c r="G56" s="239"/>
      <c r="H56" s="239"/>
      <c r="I56" s="239"/>
      <c r="J56" s="239"/>
      <c r="K56" s="239"/>
      <c r="L56" s="239"/>
      <c r="M56" s="240"/>
      <c r="N56" s="35"/>
      <c r="O56" s="35"/>
    </row>
    <row r="57" spans="4:15" ht="30" customHeight="1" x14ac:dyDescent="0.2">
      <c r="D57" s="228" t="s">
        <v>74</v>
      </c>
      <c r="E57" s="228" t="s">
        <v>141</v>
      </c>
      <c r="F57" s="260" t="s">
        <v>155</v>
      </c>
      <c r="G57" s="261"/>
      <c r="H57" s="261"/>
      <c r="I57" s="262"/>
      <c r="J57" s="260" t="s">
        <v>154</v>
      </c>
      <c r="K57" s="261"/>
      <c r="L57" s="261"/>
      <c r="M57" s="262"/>
    </row>
    <row r="58" spans="4:15" ht="14.1" customHeight="1" x14ac:dyDescent="0.2">
      <c r="D58" s="228"/>
      <c r="E58" s="228"/>
      <c r="F58" s="145" t="s">
        <v>14</v>
      </c>
      <c r="G58" s="145" t="s">
        <v>1</v>
      </c>
      <c r="H58" s="145" t="s">
        <v>2</v>
      </c>
      <c r="I58" s="145" t="s">
        <v>3</v>
      </c>
      <c r="J58" s="145" t="s">
        <v>5</v>
      </c>
      <c r="K58" s="145" t="s">
        <v>6</v>
      </c>
      <c r="L58" s="145" t="s">
        <v>2</v>
      </c>
      <c r="M58" s="145" t="s">
        <v>3</v>
      </c>
    </row>
    <row r="59" spans="4:15" ht="14.1" customHeight="1" x14ac:dyDescent="0.2">
      <c r="D59" s="16">
        <f t="shared" ref="D59:D65" si="7">D37</f>
        <v>0</v>
      </c>
      <c r="E59" s="36" t="s">
        <v>20</v>
      </c>
      <c r="F59" s="41">
        <f>0.0337*3.14*0.5</f>
        <v>5.2909000000000005E-2</v>
      </c>
      <c r="G59" s="197">
        <v>0</v>
      </c>
      <c r="H59" s="2">
        <v>0</v>
      </c>
      <c r="I59" s="174">
        <f t="shared" ref="I59:I65" si="8">(G59-(G59*H59))*F59</f>
        <v>0</v>
      </c>
      <c r="J59" s="37">
        <v>0.02</v>
      </c>
      <c r="K59" s="197">
        <v>0</v>
      </c>
      <c r="L59" s="5">
        <v>0</v>
      </c>
      <c r="M59" s="174">
        <f>(K59-(K59*L59))*J59</f>
        <v>0</v>
      </c>
    </row>
    <row r="60" spans="4:15" ht="14.1" customHeight="1" x14ac:dyDescent="0.2">
      <c r="D60" s="16">
        <f t="shared" si="7"/>
        <v>0</v>
      </c>
      <c r="E60" s="36" t="s">
        <v>21</v>
      </c>
      <c r="F60" s="41">
        <f>0.0424*3.14*0.5</f>
        <v>6.6568000000000002E-2</v>
      </c>
      <c r="G60" s="197">
        <v>0</v>
      </c>
      <c r="H60" s="38">
        <f t="shared" ref="H60:H65" si="9">$H$59</f>
        <v>0</v>
      </c>
      <c r="I60" s="174">
        <f t="shared" si="8"/>
        <v>0</v>
      </c>
      <c r="J60" s="37">
        <v>0.02</v>
      </c>
      <c r="K60" s="175">
        <f>$K$59</f>
        <v>0</v>
      </c>
      <c r="L60" s="40">
        <f t="shared" ref="L60:L65" si="10">$L$59</f>
        <v>0</v>
      </c>
      <c r="M60" s="174">
        <f t="shared" ref="M60:M65" si="11">(K60-(K60*L60))*J60</f>
        <v>0</v>
      </c>
    </row>
    <row r="61" spans="4:15" ht="14.1" customHeight="1" x14ac:dyDescent="0.2">
      <c r="D61" s="16">
        <f t="shared" si="7"/>
        <v>0</v>
      </c>
      <c r="E61" s="36" t="s">
        <v>22</v>
      </c>
      <c r="F61" s="41">
        <f>0.0483*3.14*0.5</f>
        <v>7.583100000000001E-2</v>
      </c>
      <c r="G61" s="197">
        <v>0</v>
      </c>
      <c r="H61" s="38">
        <f t="shared" si="9"/>
        <v>0</v>
      </c>
      <c r="I61" s="174">
        <f t="shared" si="8"/>
        <v>0</v>
      </c>
      <c r="J61" s="37">
        <v>0.04</v>
      </c>
      <c r="K61" s="175">
        <f t="shared" ref="K61:K65" si="12">$K$59</f>
        <v>0</v>
      </c>
      <c r="L61" s="40">
        <f t="shared" si="10"/>
        <v>0</v>
      </c>
      <c r="M61" s="174">
        <f t="shared" si="11"/>
        <v>0</v>
      </c>
    </row>
    <row r="62" spans="4:15" ht="14.1" customHeight="1" x14ac:dyDescent="0.2">
      <c r="D62" s="16">
        <f t="shared" si="7"/>
        <v>0</v>
      </c>
      <c r="E62" s="36" t="s">
        <v>23</v>
      </c>
      <c r="F62" s="41">
        <f>0.0603*3.14*0.5</f>
        <v>9.4671000000000005E-2</v>
      </c>
      <c r="G62" s="197">
        <v>0</v>
      </c>
      <c r="H62" s="38">
        <f t="shared" si="9"/>
        <v>0</v>
      </c>
      <c r="I62" s="174">
        <f t="shared" si="8"/>
        <v>0</v>
      </c>
      <c r="J62" s="37">
        <v>0.04</v>
      </c>
      <c r="K62" s="175">
        <f t="shared" si="12"/>
        <v>0</v>
      </c>
      <c r="L62" s="40">
        <f t="shared" si="10"/>
        <v>0</v>
      </c>
      <c r="M62" s="174">
        <f t="shared" si="11"/>
        <v>0</v>
      </c>
    </row>
    <row r="63" spans="4:15" ht="14.1" customHeight="1" x14ac:dyDescent="0.2">
      <c r="D63" s="16">
        <f t="shared" si="7"/>
        <v>0</v>
      </c>
      <c r="E63" s="36" t="s">
        <v>24</v>
      </c>
      <c r="F63" s="41">
        <f>0.0761*3.14*0.5</f>
        <v>0.119477</v>
      </c>
      <c r="G63" s="197">
        <v>0</v>
      </c>
      <c r="H63" s="38">
        <f t="shared" si="9"/>
        <v>0</v>
      </c>
      <c r="I63" s="174">
        <f t="shared" si="8"/>
        <v>0</v>
      </c>
      <c r="J63" s="37">
        <v>0.04</v>
      </c>
      <c r="K63" s="175">
        <f t="shared" si="12"/>
        <v>0</v>
      </c>
      <c r="L63" s="40">
        <f t="shared" si="10"/>
        <v>0</v>
      </c>
      <c r="M63" s="174">
        <f t="shared" si="11"/>
        <v>0</v>
      </c>
    </row>
    <row r="64" spans="4:15" ht="14.1" customHeight="1" x14ac:dyDescent="0.2">
      <c r="D64" s="16">
        <f t="shared" si="7"/>
        <v>0</v>
      </c>
      <c r="E64" s="36" t="s">
        <v>25</v>
      </c>
      <c r="F64" s="41">
        <f>0.0889*3.14*0.5</f>
        <v>0.139573</v>
      </c>
      <c r="G64" s="197">
        <v>0</v>
      </c>
      <c r="H64" s="38">
        <f t="shared" si="9"/>
        <v>0</v>
      </c>
      <c r="I64" s="174">
        <f t="shared" si="8"/>
        <v>0</v>
      </c>
      <c r="J64" s="37">
        <v>0.06</v>
      </c>
      <c r="K64" s="175">
        <f t="shared" si="12"/>
        <v>0</v>
      </c>
      <c r="L64" s="40">
        <f t="shared" si="10"/>
        <v>0</v>
      </c>
      <c r="M64" s="174">
        <f t="shared" si="11"/>
        <v>0</v>
      </c>
    </row>
    <row r="65" spans="4:15" ht="14.1" customHeight="1" x14ac:dyDescent="0.2">
      <c r="D65" s="16">
        <f t="shared" si="7"/>
        <v>0</v>
      </c>
      <c r="E65" s="36" t="s">
        <v>29</v>
      </c>
      <c r="F65" s="41">
        <f>0.108*3.14*0.5</f>
        <v>0.16956000000000002</v>
      </c>
      <c r="G65" s="197">
        <v>0</v>
      </c>
      <c r="H65" s="38">
        <f t="shared" si="9"/>
        <v>0</v>
      </c>
      <c r="I65" s="174">
        <f t="shared" si="8"/>
        <v>0</v>
      </c>
      <c r="J65" s="37">
        <v>0.08</v>
      </c>
      <c r="K65" s="175">
        <f t="shared" si="12"/>
        <v>0</v>
      </c>
      <c r="L65" s="40">
        <f t="shared" si="10"/>
        <v>0</v>
      </c>
      <c r="M65" s="174">
        <f t="shared" si="11"/>
        <v>0</v>
      </c>
    </row>
    <row r="66" spans="4:15" ht="14.1" customHeight="1" x14ac:dyDescent="0.2">
      <c r="J66" s="263" t="s">
        <v>157</v>
      </c>
      <c r="K66" s="264"/>
      <c r="L66" s="265"/>
      <c r="M66" s="167">
        <f>SUMPRODUCT(D59:D65,I59:I65)</f>
        <v>0</v>
      </c>
    </row>
    <row r="67" spans="4:15" ht="14.1" customHeight="1" x14ac:dyDescent="0.2">
      <c r="J67" s="263" t="s">
        <v>159</v>
      </c>
      <c r="K67" s="264"/>
      <c r="L67" s="265"/>
      <c r="M67" s="148">
        <f>SUMPRODUCT(D59:D65,F59:F65)</f>
        <v>0</v>
      </c>
    </row>
    <row r="68" spans="4:15" ht="14.1" customHeight="1" x14ac:dyDescent="0.2">
      <c r="J68" s="263" t="s">
        <v>158</v>
      </c>
      <c r="K68" s="264"/>
      <c r="L68" s="265"/>
      <c r="M68" s="167">
        <f>SUMPRODUCT(D59:D65,M59:M65)</f>
        <v>0</v>
      </c>
    </row>
    <row r="69" spans="4:15" ht="14.1" customHeight="1" x14ac:dyDescent="0.2">
      <c r="J69" s="263" t="s">
        <v>160</v>
      </c>
      <c r="K69" s="264"/>
      <c r="L69" s="265"/>
      <c r="M69" s="148">
        <f>SUMPRODUCT(D59:D65,J59:J65)</f>
        <v>0</v>
      </c>
    </row>
    <row r="71" spans="4:15" s="26" customFormat="1" ht="20.100000000000001" customHeight="1" x14ac:dyDescent="0.2">
      <c r="D71" s="238" t="s">
        <v>147</v>
      </c>
      <c r="E71" s="239"/>
      <c r="F71" s="239"/>
      <c r="G71" s="239"/>
      <c r="H71" s="239"/>
      <c r="I71" s="239"/>
      <c r="J71" s="239"/>
      <c r="K71" s="239"/>
      <c r="L71" s="239"/>
      <c r="M71" s="240"/>
      <c r="N71" s="35"/>
      <c r="O71" s="35"/>
    </row>
    <row r="72" spans="4:15" ht="30" customHeight="1" x14ac:dyDescent="0.2">
      <c r="D72" s="228" t="s">
        <v>74</v>
      </c>
      <c r="E72" s="228" t="s">
        <v>141</v>
      </c>
      <c r="F72" s="260" t="s">
        <v>155</v>
      </c>
      <c r="G72" s="261"/>
      <c r="H72" s="261"/>
      <c r="I72" s="262"/>
      <c r="J72" s="260" t="s">
        <v>154</v>
      </c>
      <c r="K72" s="261"/>
      <c r="L72" s="261"/>
      <c r="M72" s="262"/>
    </row>
    <row r="73" spans="4:15" ht="14.1" customHeight="1" x14ac:dyDescent="0.2">
      <c r="D73" s="228"/>
      <c r="E73" s="228"/>
      <c r="F73" s="145" t="s">
        <v>14</v>
      </c>
      <c r="G73" s="145" t="s">
        <v>1</v>
      </c>
      <c r="H73" s="145" t="s">
        <v>2</v>
      </c>
      <c r="I73" s="145" t="s">
        <v>3</v>
      </c>
      <c r="J73" s="145" t="s">
        <v>5</v>
      </c>
      <c r="K73" s="145" t="s">
        <v>6</v>
      </c>
      <c r="L73" s="145" t="s">
        <v>2</v>
      </c>
      <c r="M73" s="145" t="s">
        <v>3</v>
      </c>
    </row>
    <row r="74" spans="4:15" ht="14.1" customHeight="1" x14ac:dyDescent="0.2">
      <c r="D74" s="16">
        <f>D50</f>
        <v>0</v>
      </c>
      <c r="E74" s="36" t="s">
        <v>26</v>
      </c>
      <c r="F74" s="41">
        <f>0.1397*3.14*1.3</f>
        <v>0.57025539999999997</v>
      </c>
      <c r="G74" s="197">
        <v>0</v>
      </c>
      <c r="H74" s="5">
        <v>0</v>
      </c>
      <c r="I74" s="174">
        <f>(G74-(G74*H74))*F74</f>
        <v>0</v>
      </c>
      <c r="J74" s="41">
        <v>0.08</v>
      </c>
      <c r="K74" s="197">
        <v>0</v>
      </c>
      <c r="L74" s="5">
        <v>0</v>
      </c>
      <c r="M74" s="174">
        <f>(K74-(K74*L74))*J74</f>
        <v>0</v>
      </c>
    </row>
    <row r="75" spans="4:15" ht="14.1" customHeight="1" x14ac:dyDescent="0.2">
      <c r="D75" s="16">
        <f>D51</f>
        <v>0</v>
      </c>
      <c r="E75" s="36" t="s">
        <v>27</v>
      </c>
      <c r="F75" s="41">
        <f>0.159*3.14*1.3</f>
        <v>0.64903800000000011</v>
      </c>
      <c r="G75" s="197">
        <v>0</v>
      </c>
      <c r="H75" s="40">
        <f>$H$74</f>
        <v>0</v>
      </c>
      <c r="I75" s="174">
        <f>(G75-(G75*H75))*F75</f>
        <v>0</v>
      </c>
      <c r="J75" s="41">
        <v>0.12</v>
      </c>
      <c r="K75" s="175">
        <f>$K$74</f>
        <v>0</v>
      </c>
      <c r="L75" s="40">
        <f>$L$74</f>
        <v>0</v>
      </c>
      <c r="M75" s="174">
        <f>(K75-(K75*L75))*J75</f>
        <v>0</v>
      </c>
    </row>
    <row r="76" spans="4:15" ht="14.1" customHeight="1" x14ac:dyDescent="0.2">
      <c r="D76" s="16">
        <f>D52</f>
        <v>0</v>
      </c>
      <c r="E76" s="36" t="s">
        <v>28</v>
      </c>
      <c r="F76" s="41">
        <f>0.2191*3.14*1.3</f>
        <v>0.8943662</v>
      </c>
      <c r="G76" s="197">
        <v>0</v>
      </c>
      <c r="H76" s="40">
        <f>$H$74</f>
        <v>0</v>
      </c>
      <c r="I76" s="174">
        <f>(G76-(G76*H76))*F76</f>
        <v>0</v>
      </c>
      <c r="J76" s="41">
        <v>0.14000000000000001</v>
      </c>
      <c r="K76" s="175">
        <f>$K$74</f>
        <v>0</v>
      </c>
      <c r="L76" s="40">
        <f>$L$74</f>
        <v>0</v>
      </c>
      <c r="M76" s="174">
        <f>(K76-(K76*L76))*J76</f>
        <v>0</v>
      </c>
    </row>
    <row r="77" spans="4:15" ht="14.1" customHeight="1" x14ac:dyDescent="0.2">
      <c r="J77" s="263" t="s">
        <v>157</v>
      </c>
      <c r="K77" s="264"/>
      <c r="L77" s="265"/>
      <c r="M77" s="167">
        <f>SUMPRODUCT(D74:D76,I74:I76)</f>
        <v>0</v>
      </c>
    </row>
    <row r="78" spans="4:15" ht="14.1" customHeight="1" x14ac:dyDescent="0.2">
      <c r="J78" s="263" t="s">
        <v>159</v>
      </c>
      <c r="K78" s="264"/>
      <c r="L78" s="265"/>
      <c r="M78" s="148">
        <f>SUMPRODUCT(D74:D76,F74:F76)</f>
        <v>0</v>
      </c>
    </row>
    <row r="79" spans="4:15" ht="14.1" customHeight="1" x14ac:dyDescent="0.2">
      <c r="J79" s="263" t="s">
        <v>158</v>
      </c>
      <c r="K79" s="264"/>
      <c r="L79" s="265"/>
      <c r="M79" s="167">
        <f>SUMPRODUCT(D74:D76,M74:M76)</f>
        <v>0</v>
      </c>
    </row>
    <row r="80" spans="4:15" ht="14.1" customHeight="1" x14ac:dyDescent="0.2">
      <c r="J80" s="263" t="s">
        <v>160</v>
      </c>
      <c r="K80" s="264"/>
      <c r="L80" s="265"/>
      <c r="M80" s="148">
        <f>SUMPRODUCT(D74:D76,J74:J76)</f>
        <v>0</v>
      </c>
    </row>
    <row r="82" spans="1:16" ht="14.1" customHeight="1" x14ac:dyDescent="0.2">
      <c r="A82" s="278" t="s">
        <v>81</v>
      </c>
      <c r="B82" s="278"/>
      <c r="C82" s="278"/>
    </row>
    <row r="84" spans="1:16" s="32" customFormat="1" ht="30" customHeight="1" x14ac:dyDescent="0.3">
      <c r="A84" s="224" t="s">
        <v>56</v>
      </c>
      <c r="B84" s="224"/>
      <c r="C84" s="224"/>
      <c r="D84" s="224"/>
      <c r="E84" s="224"/>
      <c r="F84" s="224"/>
      <c r="G84" s="224"/>
      <c r="H84" s="224"/>
      <c r="I84" s="224"/>
      <c r="J84" s="224"/>
      <c r="K84" s="224"/>
      <c r="L84" s="224"/>
      <c r="M84" s="224"/>
      <c r="N84" s="224"/>
      <c r="O84" s="224"/>
      <c r="P84" s="224"/>
    </row>
    <row r="85" spans="1:16" ht="14.1" customHeight="1" x14ac:dyDescent="0.2">
      <c r="J85" s="21"/>
      <c r="K85" s="21"/>
      <c r="L85" s="21"/>
      <c r="M85" s="21"/>
    </row>
    <row r="86" spans="1:16" ht="14.1" customHeight="1" x14ac:dyDescent="0.2">
      <c r="K86" s="259" t="s">
        <v>161</v>
      </c>
      <c r="L86" s="259"/>
      <c r="M86" s="259"/>
      <c r="N86" s="259"/>
    </row>
    <row r="87" spans="1:16" ht="14.1" customHeight="1" x14ac:dyDescent="0.2">
      <c r="K87" s="259" t="s">
        <v>164</v>
      </c>
      <c r="L87" s="259"/>
      <c r="M87" s="259"/>
      <c r="N87" s="259"/>
    </row>
    <row r="88" spans="1:16" ht="14.1" customHeight="1" x14ac:dyDescent="0.2">
      <c r="K88" s="259" t="s">
        <v>162</v>
      </c>
      <c r="L88" s="259"/>
      <c r="M88" s="259"/>
      <c r="N88" s="259"/>
    </row>
    <row r="89" spans="1:16" ht="14.1" customHeight="1" x14ac:dyDescent="0.2">
      <c r="K89" s="259" t="s">
        <v>91</v>
      </c>
      <c r="L89" s="259"/>
      <c r="M89" s="259"/>
      <c r="N89" s="259"/>
    </row>
    <row r="90" spans="1:16" ht="14.1" customHeight="1" x14ac:dyDescent="0.2">
      <c r="C90" s="268"/>
      <c r="D90" s="268"/>
      <c r="E90" s="42"/>
      <c r="F90" s="42"/>
      <c r="G90" s="42"/>
      <c r="K90" s="259" t="s">
        <v>163</v>
      </c>
      <c r="L90" s="259"/>
      <c r="M90" s="259"/>
      <c r="N90" s="259"/>
    </row>
    <row r="91" spans="1:16" ht="14.1" customHeight="1" x14ac:dyDescent="0.2">
      <c r="C91" s="42"/>
      <c r="D91" s="42"/>
      <c r="E91" s="268"/>
      <c r="F91" s="268"/>
      <c r="G91" s="268"/>
    </row>
    <row r="92" spans="1:16" ht="14.1" customHeight="1" x14ac:dyDescent="0.2">
      <c r="C92" s="42"/>
      <c r="D92" s="42"/>
      <c r="E92" s="269"/>
      <c r="F92" s="269"/>
      <c r="G92" s="269"/>
    </row>
    <row r="94" spans="1:16" s="26" customFormat="1" ht="20.100000000000001" customHeight="1" x14ac:dyDescent="0.2">
      <c r="B94" s="238" t="s">
        <v>169</v>
      </c>
      <c r="C94" s="239"/>
      <c r="D94" s="239"/>
      <c r="E94" s="239"/>
      <c r="F94" s="239"/>
      <c r="G94" s="239"/>
      <c r="H94" s="239"/>
      <c r="I94" s="239"/>
      <c r="J94" s="239"/>
      <c r="K94" s="239"/>
      <c r="L94" s="239"/>
      <c r="M94" s="239"/>
      <c r="N94" s="240"/>
    </row>
    <row r="95" spans="1:16" ht="27.75" customHeight="1" x14ac:dyDescent="0.2">
      <c r="B95" s="228" t="s">
        <v>74</v>
      </c>
      <c r="C95" s="280" t="s">
        <v>141</v>
      </c>
      <c r="D95" s="281"/>
      <c r="E95" s="228" t="s">
        <v>168</v>
      </c>
      <c r="F95" s="230"/>
      <c r="G95" s="230"/>
      <c r="H95" s="230"/>
      <c r="I95" s="260" t="s">
        <v>167</v>
      </c>
      <c r="J95" s="261"/>
      <c r="K95" s="261"/>
      <c r="L95" s="262"/>
      <c r="M95" s="228" t="s">
        <v>107</v>
      </c>
      <c r="N95" s="228" t="s">
        <v>108</v>
      </c>
    </row>
    <row r="96" spans="1:16" ht="14.1" customHeight="1" x14ac:dyDescent="0.2">
      <c r="B96" s="228"/>
      <c r="C96" s="282"/>
      <c r="D96" s="283"/>
      <c r="E96" s="145" t="s">
        <v>0</v>
      </c>
      <c r="F96" s="145" t="s">
        <v>1</v>
      </c>
      <c r="G96" s="145" t="s">
        <v>2</v>
      </c>
      <c r="H96" s="145" t="s">
        <v>3</v>
      </c>
      <c r="I96" s="145" t="s">
        <v>0</v>
      </c>
      <c r="J96" s="145" t="s">
        <v>1</v>
      </c>
      <c r="K96" s="145" t="s">
        <v>2</v>
      </c>
      <c r="L96" s="145" t="s">
        <v>3</v>
      </c>
      <c r="M96" s="228"/>
      <c r="N96" s="228"/>
    </row>
    <row r="97" spans="1:14" ht="14.1" customHeight="1" x14ac:dyDescent="0.2">
      <c r="B97" s="7"/>
      <c r="C97" s="266" t="s">
        <v>21</v>
      </c>
      <c r="D97" s="267"/>
      <c r="E97" s="43">
        <v>0.02</v>
      </c>
      <c r="F97" s="175">
        <v>82</v>
      </c>
      <c r="G97" s="6">
        <v>0</v>
      </c>
      <c r="H97" s="166">
        <f>F97*(1-G97)*E97</f>
        <v>1.6400000000000001</v>
      </c>
      <c r="I97" s="44">
        <v>3.0000000000000001E-3</v>
      </c>
      <c r="J97" s="176">
        <v>64</v>
      </c>
      <c r="K97" s="6">
        <v>0</v>
      </c>
      <c r="L97" s="174">
        <f t="shared" ref="L97:L104" si="13">J97*(1-K97)*I97</f>
        <v>0.192</v>
      </c>
      <c r="M97" s="174">
        <f t="shared" ref="M97:M104" si="14">L97+H97</f>
        <v>1.8320000000000001</v>
      </c>
      <c r="N97" s="174">
        <f t="shared" ref="N97:N104" si="15">M97*B97</f>
        <v>0</v>
      </c>
    </row>
    <row r="98" spans="1:14" ht="14.1" customHeight="1" x14ac:dyDescent="0.2">
      <c r="B98" s="7"/>
      <c r="C98" s="266" t="s">
        <v>22</v>
      </c>
      <c r="D98" s="267"/>
      <c r="E98" s="43">
        <v>2.5000000000000001E-2</v>
      </c>
      <c r="F98" s="175">
        <v>82</v>
      </c>
      <c r="G98" s="40">
        <f>$G$97</f>
        <v>0</v>
      </c>
      <c r="H98" s="166">
        <f t="shared" ref="H98:H104" si="16">F98*(1-G98)*E98</f>
        <v>2.0500000000000003</v>
      </c>
      <c r="I98" s="44">
        <v>3.0000000000000001E-3</v>
      </c>
      <c r="J98" s="176">
        <v>64</v>
      </c>
      <c r="K98" s="40">
        <f>$K$97</f>
        <v>0</v>
      </c>
      <c r="L98" s="174">
        <f t="shared" si="13"/>
        <v>0.192</v>
      </c>
      <c r="M98" s="174">
        <f t="shared" si="14"/>
        <v>2.2420000000000004</v>
      </c>
      <c r="N98" s="174">
        <f t="shared" si="15"/>
        <v>0</v>
      </c>
    </row>
    <row r="99" spans="1:14" ht="14.1" customHeight="1" x14ac:dyDescent="0.2">
      <c r="B99" s="7"/>
      <c r="C99" s="266" t="s">
        <v>23</v>
      </c>
      <c r="D99" s="267"/>
      <c r="E99" s="43">
        <v>0.03</v>
      </c>
      <c r="F99" s="175">
        <v>82</v>
      </c>
      <c r="G99" s="40">
        <f t="shared" ref="G99:G104" si="17">$G$97</f>
        <v>0</v>
      </c>
      <c r="H99" s="166">
        <f t="shared" si="16"/>
        <v>2.46</v>
      </c>
      <c r="I99" s="44">
        <v>3.0000000000000001E-3</v>
      </c>
      <c r="J99" s="176">
        <v>64</v>
      </c>
      <c r="K99" s="40">
        <f t="shared" ref="K99:K104" si="18">$K$97</f>
        <v>0</v>
      </c>
      <c r="L99" s="174">
        <f t="shared" si="13"/>
        <v>0.192</v>
      </c>
      <c r="M99" s="174">
        <f t="shared" si="14"/>
        <v>2.6520000000000001</v>
      </c>
      <c r="N99" s="174">
        <f t="shared" si="15"/>
        <v>0</v>
      </c>
    </row>
    <row r="100" spans="1:14" ht="14.1" customHeight="1" x14ac:dyDescent="0.2">
      <c r="B100" s="7"/>
      <c r="C100" s="266" t="s">
        <v>24</v>
      </c>
      <c r="D100" s="267"/>
      <c r="E100" s="43">
        <v>0.04</v>
      </c>
      <c r="F100" s="175">
        <v>82</v>
      </c>
      <c r="G100" s="40">
        <f t="shared" si="17"/>
        <v>0</v>
      </c>
      <c r="H100" s="166">
        <f t="shared" si="16"/>
        <v>3.2800000000000002</v>
      </c>
      <c r="I100" s="44">
        <v>3.0000000000000001E-3</v>
      </c>
      <c r="J100" s="176">
        <v>64</v>
      </c>
      <c r="K100" s="40">
        <f t="shared" si="18"/>
        <v>0</v>
      </c>
      <c r="L100" s="174">
        <f t="shared" si="13"/>
        <v>0.192</v>
      </c>
      <c r="M100" s="174">
        <f t="shared" si="14"/>
        <v>3.4720000000000004</v>
      </c>
      <c r="N100" s="174">
        <f t="shared" si="15"/>
        <v>0</v>
      </c>
    </row>
    <row r="101" spans="1:14" ht="14.1" customHeight="1" x14ac:dyDescent="0.2">
      <c r="B101" s="7"/>
      <c r="C101" s="266" t="s">
        <v>25</v>
      </c>
      <c r="D101" s="267"/>
      <c r="E101" s="43">
        <v>4.4999999999999998E-2</v>
      </c>
      <c r="F101" s="175">
        <v>82</v>
      </c>
      <c r="G101" s="40">
        <f t="shared" si="17"/>
        <v>0</v>
      </c>
      <c r="H101" s="166">
        <f t="shared" si="16"/>
        <v>3.69</v>
      </c>
      <c r="I101" s="44">
        <v>4.0000000000000001E-3</v>
      </c>
      <c r="J101" s="176">
        <v>64</v>
      </c>
      <c r="K101" s="40">
        <f t="shared" si="18"/>
        <v>0</v>
      </c>
      <c r="L101" s="174">
        <f t="shared" si="13"/>
        <v>0.25600000000000001</v>
      </c>
      <c r="M101" s="174">
        <f t="shared" si="14"/>
        <v>3.9459999999999997</v>
      </c>
      <c r="N101" s="174">
        <f t="shared" si="15"/>
        <v>0</v>
      </c>
    </row>
    <row r="102" spans="1:14" ht="14.1" customHeight="1" x14ac:dyDescent="0.2">
      <c r="B102" s="7"/>
      <c r="C102" s="266" t="s">
        <v>29</v>
      </c>
      <c r="D102" s="267"/>
      <c r="E102" s="43">
        <v>5.5E-2</v>
      </c>
      <c r="F102" s="175">
        <v>82</v>
      </c>
      <c r="G102" s="40">
        <f t="shared" si="17"/>
        <v>0</v>
      </c>
      <c r="H102" s="166">
        <f t="shared" si="16"/>
        <v>4.51</v>
      </c>
      <c r="I102" s="44">
        <v>4.0000000000000001E-3</v>
      </c>
      <c r="J102" s="176">
        <v>64</v>
      </c>
      <c r="K102" s="40">
        <f t="shared" si="18"/>
        <v>0</v>
      </c>
      <c r="L102" s="174">
        <f t="shared" si="13"/>
        <v>0.25600000000000001</v>
      </c>
      <c r="M102" s="174">
        <f t="shared" si="14"/>
        <v>4.766</v>
      </c>
      <c r="N102" s="174">
        <f t="shared" si="15"/>
        <v>0</v>
      </c>
    </row>
    <row r="103" spans="1:14" ht="14.1" customHeight="1" x14ac:dyDescent="0.2">
      <c r="B103" s="7"/>
      <c r="C103" s="266" t="s">
        <v>26</v>
      </c>
      <c r="D103" s="267"/>
      <c r="E103" s="43">
        <v>0.14000000000000001</v>
      </c>
      <c r="F103" s="175">
        <v>82</v>
      </c>
      <c r="G103" s="40">
        <f t="shared" si="17"/>
        <v>0</v>
      </c>
      <c r="H103" s="166">
        <f t="shared" si="16"/>
        <v>11.48</v>
      </c>
      <c r="I103" s="44">
        <v>5.0000000000000001E-3</v>
      </c>
      <c r="J103" s="176">
        <v>64</v>
      </c>
      <c r="K103" s="40">
        <f t="shared" si="18"/>
        <v>0</v>
      </c>
      <c r="L103" s="174">
        <f t="shared" si="13"/>
        <v>0.32</v>
      </c>
      <c r="M103" s="174">
        <f t="shared" si="14"/>
        <v>11.8</v>
      </c>
      <c r="N103" s="174">
        <f t="shared" si="15"/>
        <v>0</v>
      </c>
    </row>
    <row r="104" spans="1:14" ht="14.1" customHeight="1" x14ac:dyDescent="0.2">
      <c r="B104" s="7"/>
      <c r="C104" s="266" t="s">
        <v>27</v>
      </c>
      <c r="D104" s="267"/>
      <c r="E104" s="43">
        <v>0.15</v>
      </c>
      <c r="F104" s="175">
        <v>82</v>
      </c>
      <c r="G104" s="40">
        <f t="shared" si="17"/>
        <v>0</v>
      </c>
      <c r="H104" s="166">
        <f t="shared" si="16"/>
        <v>12.299999999999999</v>
      </c>
      <c r="I104" s="44">
        <v>6.0000000000000001E-3</v>
      </c>
      <c r="J104" s="176">
        <v>64</v>
      </c>
      <c r="K104" s="40">
        <f t="shared" si="18"/>
        <v>0</v>
      </c>
      <c r="L104" s="177">
        <f t="shared" si="13"/>
        <v>0.38400000000000001</v>
      </c>
      <c r="M104" s="177">
        <f t="shared" si="14"/>
        <v>12.683999999999999</v>
      </c>
      <c r="N104" s="177">
        <f t="shared" si="15"/>
        <v>0</v>
      </c>
    </row>
    <row r="105" spans="1:14" ht="14.1" customHeight="1" x14ac:dyDescent="0.2">
      <c r="K105" s="263" t="s">
        <v>86</v>
      </c>
      <c r="L105" s="264"/>
      <c r="M105" s="265"/>
      <c r="N105" s="167">
        <f>SUM(N97:N104)</f>
        <v>0</v>
      </c>
    </row>
    <row r="106" spans="1:14" ht="14.1" customHeight="1" x14ac:dyDescent="0.2">
      <c r="K106" s="263" t="s">
        <v>170</v>
      </c>
      <c r="L106" s="264"/>
      <c r="M106" s="265"/>
      <c r="N106" s="148">
        <f>SUMPRODUCT(B97:B104,E97:E104)</f>
        <v>0</v>
      </c>
    </row>
    <row r="107" spans="1:14" ht="14.1" customHeight="1" x14ac:dyDescent="0.2">
      <c r="K107" s="263" t="s">
        <v>171</v>
      </c>
      <c r="L107" s="264"/>
      <c r="M107" s="265"/>
      <c r="N107" s="148">
        <f>SUMPRODUCT(B97:B104,I97:I104)</f>
        <v>0</v>
      </c>
    </row>
    <row r="109" spans="1:14" ht="18.75" customHeight="1" x14ac:dyDescent="0.2">
      <c r="B109" s="45" t="s">
        <v>166</v>
      </c>
    </row>
    <row r="111" spans="1:14" ht="14.1" customHeight="1" x14ac:dyDescent="0.2">
      <c r="A111" s="278" t="s">
        <v>81</v>
      </c>
      <c r="B111" s="278"/>
      <c r="C111" s="278"/>
    </row>
    <row r="113" spans="1:16" s="32" customFormat="1" ht="30" customHeight="1" x14ac:dyDescent="0.3">
      <c r="A113" s="224" t="s">
        <v>58</v>
      </c>
      <c r="B113" s="224"/>
      <c r="C113" s="224"/>
      <c r="D113" s="224"/>
      <c r="E113" s="224"/>
      <c r="F113" s="224"/>
      <c r="G113" s="224"/>
      <c r="H113" s="224"/>
      <c r="I113" s="224"/>
      <c r="J113" s="224"/>
      <c r="K113" s="224"/>
      <c r="L113" s="224"/>
      <c r="M113" s="224"/>
      <c r="N113" s="224"/>
      <c r="O113" s="224"/>
      <c r="P113" s="224"/>
    </row>
    <row r="114" spans="1:16" ht="14.1" customHeight="1" x14ac:dyDescent="0.2">
      <c r="J114" s="21"/>
      <c r="K114" s="21"/>
      <c r="L114" s="21"/>
      <c r="M114" s="21"/>
    </row>
    <row r="115" spans="1:16" ht="14.1" customHeight="1" x14ac:dyDescent="0.2">
      <c r="K115" s="259" t="s">
        <v>161</v>
      </c>
      <c r="L115" s="259"/>
      <c r="M115" s="259"/>
      <c r="N115" s="259"/>
    </row>
    <row r="116" spans="1:16" ht="14.1" customHeight="1" x14ac:dyDescent="0.2">
      <c r="K116" s="259" t="s">
        <v>164</v>
      </c>
      <c r="L116" s="259"/>
      <c r="M116" s="259"/>
      <c r="N116" s="259"/>
    </row>
    <row r="117" spans="1:16" ht="14.1" customHeight="1" x14ac:dyDescent="0.2">
      <c r="K117" s="259" t="s">
        <v>165</v>
      </c>
      <c r="L117" s="259"/>
      <c r="M117" s="259"/>
      <c r="N117" s="259"/>
    </row>
    <row r="118" spans="1:16" ht="14.1" customHeight="1" x14ac:dyDescent="0.2">
      <c r="K118" s="259" t="s">
        <v>91</v>
      </c>
      <c r="L118" s="259"/>
      <c r="M118" s="259"/>
      <c r="N118" s="259"/>
    </row>
    <row r="119" spans="1:16" ht="14.1" customHeight="1" x14ac:dyDescent="0.2">
      <c r="K119" s="259" t="s">
        <v>163</v>
      </c>
      <c r="L119" s="259"/>
      <c r="M119" s="259"/>
      <c r="N119" s="259"/>
    </row>
    <row r="120" spans="1:16" ht="14.1" customHeight="1" x14ac:dyDescent="0.2">
      <c r="K120" s="21"/>
      <c r="L120" s="21"/>
      <c r="M120" s="21"/>
      <c r="N120" s="21"/>
    </row>
    <row r="121" spans="1:16" ht="14.1" customHeight="1" x14ac:dyDescent="0.2">
      <c r="K121" s="21"/>
      <c r="L121" s="21"/>
      <c r="M121" s="21"/>
      <c r="N121" s="21"/>
    </row>
    <row r="122" spans="1:16" ht="14.1" customHeight="1" x14ac:dyDescent="0.2">
      <c r="C122" s="230" t="s">
        <v>172</v>
      </c>
      <c r="D122" s="230"/>
      <c r="E122" s="22"/>
      <c r="F122" s="22"/>
      <c r="G122" s="22"/>
    </row>
    <row r="123" spans="1:16" ht="14.1" customHeight="1" x14ac:dyDescent="0.2">
      <c r="C123" s="145" t="s">
        <v>173</v>
      </c>
      <c r="D123" s="145" t="s">
        <v>174</v>
      </c>
      <c r="E123" s="230" t="s">
        <v>175</v>
      </c>
      <c r="F123" s="230"/>
      <c r="G123" s="230"/>
    </row>
    <row r="124" spans="1:16" ht="14.1" customHeight="1" x14ac:dyDescent="0.2">
      <c r="C124" s="8"/>
      <c r="D124" s="8"/>
      <c r="E124" s="285">
        <f>(C124*D124)/10000</f>
        <v>0</v>
      </c>
      <c r="F124" s="285"/>
      <c r="G124" s="285"/>
    </row>
    <row r="126" spans="1:16" s="26" customFormat="1" ht="20.100000000000001" customHeight="1" x14ac:dyDescent="0.2">
      <c r="C126" s="238" t="s">
        <v>30</v>
      </c>
      <c r="D126" s="239"/>
      <c r="E126" s="239"/>
      <c r="F126" s="239"/>
      <c r="G126" s="239"/>
      <c r="H126" s="239"/>
      <c r="I126" s="239"/>
      <c r="J126" s="239"/>
      <c r="K126" s="239"/>
      <c r="L126" s="239"/>
      <c r="M126" s="239"/>
      <c r="N126" s="240"/>
    </row>
    <row r="127" spans="1:16" ht="27.75" customHeight="1" x14ac:dyDescent="0.2">
      <c r="C127" s="228" t="s">
        <v>74</v>
      </c>
      <c r="D127" s="228" t="s">
        <v>175</v>
      </c>
      <c r="E127" s="230" t="s">
        <v>167</v>
      </c>
      <c r="F127" s="230"/>
      <c r="G127" s="230"/>
      <c r="H127" s="230"/>
      <c r="I127" s="260" t="s">
        <v>176</v>
      </c>
      <c r="J127" s="261"/>
      <c r="K127" s="261"/>
      <c r="L127" s="262"/>
      <c r="M127" s="228" t="s">
        <v>107</v>
      </c>
      <c r="N127" s="228" t="s">
        <v>108</v>
      </c>
    </row>
    <row r="128" spans="1:16" ht="14.1" customHeight="1" x14ac:dyDescent="0.2">
      <c r="C128" s="228"/>
      <c r="D128" s="228"/>
      <c r="E128" s="145" t="s">
        <v>0</v>
      </c>
      <c r="F128" s="145" t="s">
        <v>1</v>
      </c>
      <c r="G128" s="145" t="s">
        <v>2</v>
      </c>
      <c r="H128" s="145" t="s">
        <v>3</v>
      </c>
      <c r="I128" s="145" t="s">
        <v>14</v>
      </c>
      <c r="J128" s="145" t="s">
        <v>15</v>
      </c>
      <c r="K128" s="145" t="s">
        <v>2</v>
      </c>
      <c r="L128" s="145" t="s">
        <v>3</v>
      </c>
      <c r="M128" s="228"/>
      <c r="N128" s="228"/>
    </row>
    <row r="129" spans="1:16" ht="14.1" customHeight="1" x14ac:dyDescent="0.2">
      <c r="C129" s="7"/>
      <c r="D129" s="44">
        <v>0.01</v>
      </c>
      <c r="E129" s="43">
        <f>(D129*2*1.7)/12.5</f>
        <v>2.7200000000000002E-3</v>
      </c>
      <c r="F129" s="176">
        <v>64</v>
      </c>
      <c r="G129" s="6">
        <v>0</v>
      </c>
      <c r="H129" s="166">
        <f>F129*(1-G129)*E129</f>
        <v>0.17408000000000001</v>
      </c>
      <c r="I129" s="44">
        <v>0.02</v>
      </c>
      <c r="J129" s="198">
        <v>0</v>
      </c>
      <c r="K129" s="6">
        <v>0</v>
      </c>
      <c r="L129" s="174">
        <f t="shared" ref="L129:L136" si="19">J129*(1-K129)*I129</f>
        <v>0</v>
      </c>
      <c r="M129" s="174">
        <f t="shared" ref="M129:M136" si="20">L129+H129</f>
        <v>0.17408000000000001</v>
      </c>
      <c r="N129" s="174">
        <f t="shared" ref="N129:N136" si="21">M129*C129</f>
        <v>0</v>
      </c>
    </row>
    <row r="130" spans="1:16" ht="14.1" customHeight="1" x14ac:dyDescent="0.2">
      <c r="C130" s="7"/>
      <c r="D130" s="44">
        <v>0.02</v>
      </c>
      <c r="E130" s="43">
        <f t="shared" ref="E130:E136" si="22">(D130*2*1.7)/12.5</f>
        <v>5.4400000000000004E-3</v>
      </c>
      <c r="F130" s="176">
        <v>64</v>
      </c>
      <c r="G130" s="40">
        <f>$G$129</f>
        <v>0</v>
      </c>
      <c r="H130" s="166">
        <f t="shared" ref="H130:H136" si="23">F130*(1-G130)*E130</f>
        <v>0.34816000000000003</v>
      </c>
      <c r="I130" s="44">
        <v>0.04</v>
      </c>
      <c r="J130" s="176">
        <f>$J$129</f>
        <v>0</v>
      </c>
      <c r="K130" s="40">
        <f>$K$129</f>
        <v>0</v>
      </c>
      <c r="L130" s="174">
        <f t="shared" si="19"/>
        <v>0</v>
      </c>
      <c r="M130" s="174">
        <f t="shared" si="20"/>
        <v>0.34816000000000003</v>
      </c>
      <c r="N130" s="174">
        <f t="shared" si="21"/>
        <v>0</v>
      </c>
    </row>
    <row r="131" spans="1:16" ht="14.1" customHeight="1" x14ac:dyDescent="0.2">
      <c r="C131" s="7"/>
      <c r="D131" s="44">
        <v>0.05</v>
      </c>
      <c r="E131" s="43">
        <f t="shared" si="22"/>
        <v>1.3600000000000001E-2</v>
      </c>
      <c r="F131" s="176">
        <v>64</v>
      </c>
      <c r="G131" s="40">
        <f t="shared" ref="G131:G136" si="24">$G$129</f>
        <v>0</v>
      </c>
      <c r="H131" s="166">
        <f t="shared" si="23"/>
        <v>0.87040000000000006</v>
      </c>
      <c r="I131" s="44">
        <v>0.1</v>
      </c>
      <c r="J131" s="176">
        <f t="shared" ref="J131:J136" si="25">$J$129</f>
        <v>0</v>
      </c>
      <c r="K131" s="40">
        <f t="shared" ref="K131:K136" si="26">$K$129</f>
        <v>0</v>
      </c>
      <c r="L131" s="174">
        <f t="shared" si="19"/>
        <v>0</v>
      </c>
      <c r="M131" s="174">
        <f t="shared" si="20"/>
        <v>0.87040000000000006</v>
      </c>
      <c r="N131" s="174">
        <f t="shared" si="21"/>
        <v>0</v>
      </c>
    </row>
    <row r="132" spans="1:16" ht="14.1" customHeight="1" x14ac:dyDescent="0.2">
      <c r="C132" s="7"/>
      <c r="D132" s="44">
        <v>0.1</v>
      </c>
      <c r="E132" s="43">
        <f t="shared" si="22"/>
        <v>2.7200000000000002E-2</v>
      </c>
      <c r="F132" s="176">
        <v>64</v>
      </c>
      <c r="G132" s="40">
        <f t="shared" si="24"/>
        <v>0</v>
      </c>
      <c r="H132" s="166">
        <f t="shared" si="23"/>
        <v>1.7408000000000001</v>
      </c>
      <c r="I132" s="44">
        <v>0.2</v>
      </c>
      <c r="J132" s="176">
        <f t="shared" si="25"/>
        <v>0</v>
      </c>
      <c r="K132" s="40">
        <f t="shared" si="26"/>
        <v>0</v>
      </c>
      <c r="L132" s="174">
        <f t="shared" si="19"/>
        <v>0</v>
      </c>
      <c r="M132" s="174">
        <f t="shared" si="20"/>
        <v>1.7408000000000001</v>
      </c>
      <c r="N132" s="174">
        <f t="shared" si="21"/>
        <v>0</v>
      </c>
    </row>
    <row r="133" spans="1:16" ht="14.1" customHeight="1" x14ac:dyDescent="0.2">
      <c r="C133" s="7"/>
      <c r="D133" s="44">
        <v>0.2</v>
      </c>
      <c r="E133" s="43">
        <f t="shared" si="22"/>
        <v>5.4400000000000004E-2</v>
      </c>
      <c r="F133" s="176">
        <v>64</v>
      </c>
      <c r="G133" s="40">
        <f t="shared" si="24"/>
        <v>0</v>
      </c>
      <c r="H133" s="166">
        <f t="shared" si="23"/>
        <v>3.4816000000000003</v>
      </c>
      <c r="I133" s="44">
        <v>0.4</v>
      </c>
      <c r="J133" s="176">
        <f t="shared" si="25"/>
        <v>0</v>
      </c>
      <c r="K133" s="40">
        <f t="shared" si="26"/>
        <v>0</v>
      </c>
      <c r="L133" s="174">
        <f t="shared" si="19"/>
        <v>0</v>
      </c>
      <c r="M133" s="174">
        <f t="shared" si="20"/>
        <v>3.4816000000000003</v>
      </c>
      <c r="N133" s="174">
        <f t="shared" si="21"/>
        <v>0</v>
      </c>
    </row>
    <row r="134" spans="1:16" ht="14.1" customHeight="1" x14ac:dyDescent="0.2">
      <c r="C134" s="7"/>
      <c r="D134" s="44">
        <v>0.3</v>
      </c>
      <c r="E134" s="43">
        <f t="shared" si="22"/>
        <v>8.1600000000000006E-2</v>
      </c>
      <c r="F134" s="176">
        <v>64</v>
      </c>
      <c r="G134" s="40">
        <f t="shared" si="24"/>
        <v>0</v>
      </c>
      <c r="H134" s="166">
        <f t="shared" si="23"/>
        <v>5.2224000000000004</v>
      </c>
      <c r="I134" s="44">
        <v>0.6</v>
      </c>
      <c r="J134" s="176">
        <f t="shared" si="25"/>
        <v>0</v>
      </c>
      <c r="K134" s="40">
        <f t="shared" si="26"/>
        <v>0</v>
      </c>
      <c r="L134" s="174">
        <f t="shared" si="19"/>
        <v>0</v>
      </c>
      <c r="M134" s="174">
        <f t="shared" si="20"/>
        <v>5.2224000000000004</v>
      </c>
      <c r="N134" s="174">
        <f t="shared" si="21"/>
        <v>0</v>
      </c>
    </row>
    <row r="135" spans="1:16" ht="14.1" customHeight="1" x14ac:dyDescent="0.2">
      <c r="C135" s="7"/>
      <c r="D135" s="44">
        <v>0.5</v>
      </c>
      <c r="E135" s="43">
        <f t="shared" si="22"/>
        <v>0.13600000000000001</v>
      </c>
      <c r="F135" s="176">
        <v>64</v>
      </c>
      <c r="G135" s="40">
        <f t="shared" si="24"/>
        <v>0</v>
      </c>
      <c r="H135" s="166">
        <f t="shared" si="23"/>
        <v>8.7040000000000006</v>
      </c>
      <c r="I135" s="44">
        <v>1</v>
      </c>
      <c r="J135" s="176">
        <f t="shared" si="25"/>
        <v>0</v>
      </c>
      <c r="K135" s="40">
        <f t="shared" si="26"/>
        <v>0</v>
      </c>
      <c r="L135" s="174">
        <f t="shared" si="19"/>
        <v>0</v>
      </c>
      <c r="M135" s="174">
        <f t="shared" si="20"/>
        <v>8.7040000000000006</v>
      </c>
      <c r="N135" s="174">
        <f t="shared" si="21"/>
        <v>0</v>
      </c>
    </row>
    <row r="136" spans="1:16" ht="14.1" customHeight="1" x14ac:dyDescent="0.2">
      <c r="C136" s="7"/>
      <c r="D136" s="44">
        <v>1</v>
      </c>
      <c r="E136" s="43">
        <f t="shared" si="22"/>
        <v>0.27200000000000002</v>
      </c>
      <c r="F136" s="176">
        <v>64</v>
      </c>
      <c r="G136" s="40">
        <f t="shared" si="24"/>
        <v>0</v>
      </c>
      <c r="H136" s="166">
        <f t="shared" si="23"/>
        <v>17.408000000000001</v>
      </c>
      <c r="I136" s="44">
        <v>2</v>
      </c>
      <c r="J136" s="176">
        <f t="shared" si="25"/>
        <v>0</v>
      </c>
      <c r="K136" s="40">
        <f t="shared" si="26"/>
        <v>0</v>
      </c>
      <c r="L136" s="177">
        <f t="shared" si="19"/>
        <v>0</v>
      </c>
      <c r="M136" s="177">
        <f t="shared" si="20"/>
        <v>17.408000000000001</v>
      </c>
      <c r="N136" s="177">
        <f t="shared" si="21"/>
        <v>0</v>
      </c>
    </row>
    <row r="137" spans="1:16" ht="14.1" customHeight="1" x14ac:dyDescent="0.2">
      <c r="K137" s="263" t="s">
        <v>86</v>
      </c>
      <c r="L137" s="264"/>
      <c r="M137" s="265"/>
      <c r="N137" s="167">
        <f>SUM(N129:N136)</f>
        <v>0</v>
      </c>
    </row>
    <row r="138" spans="1:16" ht="14.1" customHeight="1" x14ac:dyDescent="0.2">
      <c r="K138" s="263" t="s">
        <v>177</v>
      </c>
      <c r="L138" s="264"/>
      <c r="M138" s="265"/>
      <c r="N138" s="148">
        <f>SUMPRODUCT(C129:C136,E129:E136)</f>
        <v>0</v>
      </c>
    </row>
    <row r="139" spans="1:16" ht="14.1" customHeight="1" x14ac:dyDescent="0.2">
      <c r="K139" s="263" t="s">
        <v>178</v>
      </c>
      <c r="L139" s="264"/>
      <c r="M139" s="265"/>
      <c r="N139" s="148">
        <f>SUMPRODUCT(C129:C136,I129:I136)</f>
        <v>0</v>
      </c>
    </row>
    <row r="140" spans="1:16" ht="14.1" customHeight="1" x14ac:dyDescent="0.2">
      <c r="A140" s="278" t="s">
        <v>81</v>
      </c>
      <c r="B140" s="278"/>
      <c r="C140" s="278"/>
    </row>
    <row r="143" spans="1:16" s="32" customFormat="1" ht="43.5" customHeight="1" x14ac:dyDescent="0.3">
      <c r="A143" s="279" t="s">
        <v>179</v>
      </c>
      <c r="B143" s="279"/>
      <c r="C143" s="279"/>
      <c r="D143" s="279"/>
      <c r="E143" s="279"/>
      <c r="F143" s="279"/>
      <c r="G143" s="279"/>
      <c r="H143" s="279"/>
      <c r="I143" s="279"/>
      <c r="J143" s="279"/>
      <c r="K143" s="279"/>
      <c r="L143" s="279"/>
      <c r="M143" s="279"/>
      <c r="N143" s="279"/>
      <c r="O143" s="279"/>
      <c r="P143" s="279"/>
    </row>
    <row r="145" spans="3:14" ht="14.1" customHeight="1" x14ac:dyDescent="0.2">
      <c r="J145" s="259" t="s">
        <v>161</v>
      </c>
      <c r="K145" s="259"/>
      <c r="L145" s="259"/>
      <c r="M145" s="259"/>
    </row>
    <row r="146" spans="3:14" ht="14.1" customHeight="1" x14ac:dyDescent="0.2">
      <c r="J146" s="21" t="s">
        <v>162</v>
      </c>
      <c r="K146" s="21"/>
      <c r="L146" s="21"/>
      <c r="M146" s="21"/>
    </row>
    <row r="147" spans="3:14" ht="14.1" customHeight="1" x14ac:dyDescent="0.2">
      <c r="J147" s="194" t="s">
        <v>91</v>
      </c>
      <c r="K147" s="21"/>
      <c r="L147" s="21"/>
      <c r="M147" s="21"/>
    </row>
    <row r="148" spans="3:14" ht="14.1" customHeight="1" x14ac:dyDescent="0.2">
      <c r="J148" s="259" t="s">
        <v>163</v>
      </c>
      <c r="K148" s="259"/>
      <c r="L148" s="259"/>
      <c r="M148" s="259"/>
    </row>
    <row r="151" spans="3:14" ht="20.100000000000001" customHeight="1" x14ac:dyDescent="0.2">
      <c r="C151" s="238" t="s">
        <v>18</v>
      </c>
      <c r="D151" s="239"/>
      <c r="E151" s="239"/>
      <c r="F151" s="239"/>
      <c r="G151" s="239"/>
      <c r="H151" s="239"/>
      <c r="I151" s="239"/>
      <c r="J151" s="239"/>
      <c r="K151" s="239"/>
      <c r="L151" s="239"/>
      <c r="M151" s="239"/>
      <c r="N151" s="240"/>
    </row>
    <row r="152" spans="3:14" ht="28.5" customHeight="1" x14ac:dyDescent="0.2">
      <c r="C152" s="228" t="s">
        <v>74</v>
      </c>
      <c r="D152" s="228" t="s">
        <v>180</v>
      </c>
      <c r="E152" s="230" t="s">
        <v>181</v>
      </c>
      <c r="F152" s="230"/>
      <c r="G152" s="230"/>
      <c r="H152" s="228" t="s">
        <v>185</v>
      </c>
      <c r="I152" s="228" t="s">
        <v>186</v>
      </c>
      <c r="J152" s="218" t="s">
        <v>187</v>
      </c>
      <c r="K152" s="219"/>
      <c r="L152" s="219"/>
      <c r="M152" s="223"/>
      <c r="N152" s="228" t="s">
        <v>188</v>
      </c>
    </row>
    <row r="153" spans="3:14" ht="39.75" customHeight="1" x14ac:dyDescent="0.2">
      <c r="C153" s="228"/>
      <c r="D153" s="230"/>
      <c r="E153" s="145" t="s">
        <v>182</v>
      </c>
      <c r="F153" s="145" t="s">
        <v>183</v>
      </c>
      <c r="G153" s="139" t="s">
        <v>184</v>
      </c>
      <c r="H153" s="228"/>
      <c r="I153" s="228"/>
      <c r="J153" s="139" t="s">
        <v>0</v>
      </c>
      <c r="K153" s="139" t="s">
        <v>1</v>
      </c>
      <c r="L153" s="139" t="s">
        <v>2</v>
      </c>
      <c r="M153" s="139" t="s">
        <v>3</v>
      </c>
      <c r="N153" s="228"/>
    </row>
    <row r="154" spans="3:14" ht="14.1" customHeight="1" x14ac:dyDescent="0.2">
      <c r="C154" s="1"/>
      <c r="D154" s="7"/>
      <c r="E154" s="7"/>
      <c r="F154" s="7"/>
      <c r="G154" s="7"/>
      <c r="H154" s="39">
        <f>((E154*F154*G154)/1000)-((PI()*(D154/2)^2)/100)*(G154/10)</f>
        <v>0</v>
      </c>
      <c r="I154" s="37">
        <v>38</v>
      </c>
      <c r="J154" s="43">
        <f>(H154/(I154*1000))</f>
        <v>0</v>
      </c>
      <c r="K154" s="174">
        <v>8</v>
      </c>
      <c r="L154" s="5">
        <v>0</v>
      </c>
      <c r="M154" s="174">
        <f>K154*(1-L154)</f>
        <v>8</v>
      </c>
      <c r="N154" s="174">
        <f>(K154*(1-L154)*J154)*C154</f>
        <v>0</v>
      </c>
    </row>
    <row r="155" spans="3:14" ht="14.1" customHeight="1" x14ac:dyDescent="0.2">
      <c r="C155" s="1"/>
      <c r="D155" s="7"/>
      <c r="E155" s="7"/>
      <c r="F155" s="7"/>
      <c r="G155" s="7"/>
      <c r="H155" s="39">
        <f t="shared" ref="H155:H158" si="27">((E155*F155*G155)/1000)-((PI()*(D155/2)^2)/100)*(G155/10)</f>
        <v>0</v>
      </c>
      <c r="I155" s="37">
        <v>38</v>
      </c>
      <c r="J155" s="43">
        <f>(H155/(I155*1000))</f>
        <v>0</v>
      </c>
      <c r="K155" s="174">
        <v>8</v>
      </c>
      <c r="L155" s="40">
        <f>$L$154</f>
        <v>0</v>
      </c>
      <c r="M155" s="174">
        <f>K155*(1-L155)</f>
        <v>8</v>
      </c>
      <c r="N155" s="174">
        <f>(K155*(1-L155)*J155)*C155</f>
        <v>0</v>
      </c>
    </row>
    <row r="156" spans="3:14" ht="14.1" customHeight="1" x14ac:dyDescent="0.2">
      <c r="C156" s="1"/>
      <c r="D156" s="7"/>
      <c r="E156" s="7"/>
      <c r="F156" s="7"/>
      <c r="G156" s="7"/>
      <c r="H156" s="39">
        <f t="shared" si="27"/>
        <v>0</v>
      </c>
      <c r="I156" s="37">
        <v>38</v>
      </c>
      <c r="J156" s="43">
        <f>(H156/(I156*1000))</f>
        <v>0</v>
      </c>
      <c r="K156" s="174">
        <v>8</v>
      </c>
      <c r="L156" s="40">
        <f t="shared" ref="L156:L158" si="28">$L$154</f>
        <v>0</v>
      </c>
      <c r="M156" s="174">
        <f>K156*(1-L156)</f>
        <v>8</v>
      </c>
      <c r="N156" s="174">
        <f>(K156*(1-L156)*J156)*C156</f>
        <v>0</v>
      </c>
    </row>
    <row r="157" spans="3:14" ht="14.1" customHeight="1" x14ac:dyDescent="0.2">
      <c r="C157" s="1"/>
      <c r="D157" s="7"/>
      <c r="E157" s="7"/>
      <c r="F157" s="7"/>
      <c r="G157" s="7"/>
      <c r="H157" s="39">
        <f t="shared" si="27"/>
        <v>0</v>
      </c>
      <c r="I157" s="37">
        <v>38</v>
      </c>
      <c r="J157" s="43">
        <f>(H157/(I157*1000))</f>
        <v>0</v>
      </c>
      <c r="K157" s="174">
        <v>8</v>
      </c>
      <c r="L157" s="40">
        <f t="shared" si="28"/>
        <v>0</v>
      </c>
      <c r="M157" s="174">
        <f>K157*(1-L157)</f>
        <v>8</v>
      </c>
      <c r="N157" s="174">
        <f>(K157*(1-L157)*J157)*C157</f>
        <v>0</v>
      </c>
    </row>
    <row r="158" spans="3:14" ht="14.1" customHeight="1" x14ac:dyDescent="0.2">
      <c r="C158" s="1"/>
      <c r="D158" s="7"/>
      <c r="E158" s="7"/>
      <c r="F158" s="7"/>
      <c r="G158" s="7"/>
      <c r="H158" s="39">
        <f t="shared" si="27"/>
        <v>0</v>
      </c>
      <c r="I158" s="37">
        <v>38</v>
      </c>
      <c r="J158" s="43">
        <f>(H158/(I158*1000))</f>
        <v>0</v>
      </c>
      <c r="K158" s="174">
        <v>8</v>
      </c>
      <c r="L158" s="40">
        <f t="shared" si="28"/>
        <v>0</v>
      </c>
      <c r="M158" s="174">
        <f>K158*(1-L158)</f>
        <v>8</v>
      </c>
      <c r="N158" s="174">
        <f>(K158*(1-L158)*J158)*C158</f>
        <v>0</v>
      </c>
    </row>
    <row r="159" spans="3:14" ht="14.1" customHeight="1" x14ac:dyDescent="0.2">
      <c r="L159" s="263" t="s">
        <v>86</v>
      </c>
      <c r="M159" s="265"/>
      <c r="N159" s="167">
        <f>SUM(N154:N158)</f>
        <v>0</v>
      </c>
    </row>
    <row r="160" spans="3:14" ht="14.1" customHeight="1" x14ac:dyDescent="0.2">
      <c r="L160" s="263" t="s">
        <v>189</v>
      </c>
      <c r="M160" s="265"/>
      <c r="N160" s="149">
        <f>SUM(J154:J158)</f>
        <v>0</v>
      </c>
    </row>
    <row r="161" spans="1:4" ht="14.1" customHeight="1" x14ac:dyDescent="0.2">
      <c r="A161" s="278" t="s">
        <v>81</v>
      </c>
      <c r="B161" s="278"/>
      <c r="C161" s="278"/>
    </row>
    <row r="162" spans="1:4" ht="14.1" customHeight="1" x14ac:dyDescent="0.25">
      <c r="B162" s="277"/>
      <c r="C162" s="277"/>
      <c r="D162" s="277"/>
    </row>
  </sheetData>
  <sheetProtection algorithmName="SHA-512" hashValue="FMxfGlaQQ8y2aA9+tYgT7dFy1vKA8rbNm35d7yrb4oHUgCzVvzrE8QTLRF6DDRRCS2upPYjvXvxsS/pFJaZyPw==" saltValue="o4YhbQCV7MYhG1P8Rf31TA==" spinCount="100000" sheet="1" objects="1" scenarios="1"/>
  <mergeCells count="122">
    <mergeCell ref="K105:M105"/>
    <mergeCell ref="K106:M106"/>
    <mergeCell ref="K107:M107"/>
    <mergeCell ref="B29:D29"/>
    <mergeCell ref="B28:D28"/>
    <mergeCell ref="B30:D30"/>
    <mergeCell ref="K137:M137"/>
    <mergeCell ref="K138:M138"/>
    <mergeCell ref="K139:M139"/>
    <mergeCell ref="J79:L79"/>
    <mergeCell ref="J78:L78"/>
    <mergeCell ref="K119:N119"/>
    <mergeCell ref="E123:G123"/>
    <mergeCell ref="E124:G124"/>
    <mergeCell ref="A82:C82"/>
    <mergeCell ref="J57:M57"/>
    <mergeCell ref="D57:D58"/>
    <mergeCell ref="E57:E58"/>
    <mergeCell ref="D56:M56"/>
    <mergeCell ref="D71:M71"/>
    <mergeCell ref="D72:D73"/>
    <mergeCell ref="E72:E73"/>
    <mergeCell ref="K48:K49"/>
    <mergeCell ref="K86:N86"/>
    <mergeCell ref="C127:C128"/>
    <mergeCell ref="D127:D128"/>
    <mergeCell ref="E127:H127"/>
    <mergeCell ref="I127:L127"/>
    <mergeCell ref="M127:M128"/>
    <mergeCell ref="A140:C140"/>
    <mergeCell ref="A111:C111"/>
    <mergeCell ref="K116:N116"/>
    <mergeCell ref="K117:N117"/>
    <mergeCell ref="B25:E25"/>
    <mergeCell ref="B26:D26"/>
    <mergeCell ref="B27:D27"/>
    <mergeCell ref="B162:D162"/>
    <mergeCell ref="L160:M160"/>
    <mergeCell ref="L159:M159"/>
    <mergeCell ref="C152:C153"/>
    <mergeCell ref="I152:I153"/>
    <mergeCell ref="C151:N151"/>
    <mergeCell ref="D152:D153"/>
    <mergeCell ref="N152:N153"/>
    <mergeCell ref="J145:M145"/>
    <mergeCell ref="J148:M148"/>
    <mergeCell ref="J152:M152"/>
    <mergeCell ref="A161:C161"/>
    <mergeCell ref="E152:G152"/>
    <mergeCell ref="H152:H153"/>
    <mergeCell ref="A143:P143"/>
    <mergeCell ref="C126:N126"/>
    <mergeCell ref="E95:H95"/>
    <mergeCell ref="I95:L95"/>
    <mergeCell ref="M95:M96"/>
    <mergeCell ref="A113:P113"/>
    <mergeCell ref="K115:N115"/>
    <mergeCell ref="C104:D104"/>
    <mergeCell ref="K88:N88"/>
    <mergeCell ref="K89:N89"/>
    <mergeCell ref="C90:D90"/>
    <mergeCell ref="K90:N90"/>
    <mergeCell ref="E91:G91"/>
    <mergeCell ref="C101:D101"/>
    <mergeCell ref="E92:G92"/>
    <mergeCell ref="B10:E10"/>
    <mergeCell ref="I12:K12"/>
    <mergeCell ref="A22:P22"/>
    <mergeCell ref="J26:M26"/>
    <mergeCell ref="J27:M27"/>
    <mergeCell ref="I17:K17"/>
    <mergeCell ref="H20:I20"/>
    <mergeCell ref="B14:E14"/>
    <mergeCell ref="I15:K16"/>
    <mergeCell ref="M15:M16"/>
    <mergeCell ref="I13:K14"/>
    <mergeCell ref="M13:M14"/>
    <mergeCell ref="B11:E11"/>
    <mergeCell ref="I11:K11"/>
    <mergeCell ref="B13:E13"/>
    <mergeCell ref="B12:E12"/>
    <mergeCell ref="L35:L36"/>
    <mergeCell ref="L48:L49"/>
    <mergeCell ref="J77:L77"/>
    <mergeCell ref="J80:L80"/>
    <mergeCell ref="J68:L68"/>
    <mergeCell ref="J67:L67"/>
    <mergeCell ref="B95:B96"/>
    <mergeCell ref="C102:D102"/>
    <mergeCell ref="C103:D103"/>
    <mergeCell ref="C95:D96"/>
    <mergeCell ref="C97:D97"/>
    <mergeCell ref="C98:D98"/>
    <mergeCell ref="C99:D99"/>
    <mergeCell ref="C100:D100"/>
    <mergeCell ref="K87:N87"/>
    <mergeCell ref="A84:P84"/>
    <mergeCell ref="B94:N94"/>
    <mergeCell ref="D34:L34"/>
    <mergeCell ref="D47:L47"/>
    <mergeCell ref="N127:N128"/>
    <mergeCell ref="N95:N96"/>
    <mergeCell ref="K118:N118"/>
    <mergeCell ref="C122:D122"/>
    <mergeCell ref="F35:I35"/>
    <mergeCell ref="J35:J36"/>
    <mergeCell ref="J48:J49"/>
    <mergeCell ref="F48:I48"/>
    <mergeCell ref="F72:I72"/>
    <mergeCell ref="J72:M72"/>
    <mergeCell ref="F57:I57"/>
    <mergeCell ref="H53:J53"/>
    <mergeCell ref="H54:J54"/>
    <mergeCell ref="K35:K36"/>
    <mergeCell ref="E35:E36"/>
    <mergeCell ref="E48:E49"/>
    <mergeCell ref="D48:D49"/>
    <mergeCell ref="D35:D36"/>
    <mergeCell ref="H44:J44"/>
    <mergeCell ref="J66:L66"/>
    <mergeCell ref="J69:L69"/>
    <mergeCell ref="H45:J45"/>
  </mergeCells>
  <hyperlinks>
    <hyperlink ref="H20:I20" location="SYSTEMY!A1" display="MENU GŁÓWNE" xr:uid="{00000000-0004-0000-0400-000000000000}"/>
    <hyperlink ref="B14:E14" location="'3'!A162" display="ALFA FIREFOAM PREMIUM" xr:uid="{00000000-0004-0000-0400-000003000000}"/>
    <hyperlink ref="A161:C161" location="'3'!A1" display="POWRÓT DO WYBORU SYSTEMU" xr:uid="{00000000-0004-0000-0400-000004000000}"/>
    <hyperlink ref="A140:C140" location="'3'!A1" display="POWRÓT DO WYBORU SYSTEMU" xr:uid="{00000000-0004-0000-0400-000005000000}"/>
    <hyperlink ref="A111:C111" location="'3'!A1" display="POWRÓT DO WYBORU SYSTEMU" xr:uid="{00000000-0004-0000-0400-000006000000}"/>
    <hyperlink ref="A82:C82" location="'3'!A1" display="POWRÓT DO WYBORU SYSTEMU" xr:uid="{00000000-0004-0000-0400-000007000000}"/>
    <hyperlink ref="B11:E11" location="'3'!A61" display="ALFA FR MASTIC 310 ml" xr:uid="{9388B3F4-07EB-4774-9EC0-E07C9D0488FF}"/>
    <hyperlink ref="B12:E12" location="'3'!A114" display="ALFA FR COAT I" xr:uid="{D4629BA0-51BC-4B73-B60C-D76DD869B882}"/>
    <hyperlink ref="B13:E13" location="'3'!A143" display="ALFA FR COAT A  + płyta z wełny mineralnej" xr:uid="{CE6E5A99-E1A0-4266-A38D-6C6BEAD97D48}"/>
  </hyperlink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65" fitToHeight="0" orientation="landscape" cellComments="atEnd" r:id="rId1"/>
  <headerFooter>
    <oddFooter>&amp;A</oddFooter>
  </headerFooter>
  <rowBreaks count="2" manualBreakCount="2">
    <brk id="21" max="16383" man="1"/>
    <brk id="142" max="8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3">
    <tabColor theme="1" tint="0.34998626667073579"/>
    <pageSetUpPr fitToPage="1"/>
  </sheetPr>
  <dimension ref="A1:Q100"/>
  <sheetViews>
    <sheetView showGridLines="0" zoomScale="80" zoomScaleNormal="80" workbookViewId="0">
      <selection activeCell="A2" sqref="A2"/>
    </sheetView>
  </sheetViews>
  <sheetFormatPr defaultColWidth="0" defaultRowHeight="14.1" customHeight="1" x14ac:dyDescent="0.25"/>
  <cols>
    <col min="1" max="1" width="9.140625" style="76" customWidth="1"/>
    <col min="2" max="4" width="11.7109375" style="76" customWidth="1"/>
    <col min="5" max="5" width="11.85546875" style="76" customWidth="1"/>
    <col min="6" max="6" width="12.85546875" style="76" customWidth="1"/>
    <col min="7" max="7" width="11.7109375" style="76" customWidth="1"/>
    <col min="8" max="8" width="10.5703125" style="76" customWidth="1"/>
    <col min="9" max="10" width="9.140625" style="76" customWidth="1"/>
    <col min="11" max="11" width="10.7109375" style="76" customWidth="1"/>
    <col min="12" max="12" width="12.7109375" style="76" customWidth="1"/>
    <col min="13" max="13" width="12.85546875" style="76" customWidth="1"/>
    <col min="14" max="14" width="11.42578125" style="76" customWidth="1"/>
    <col min="15" max="16" width="12.7109375" style="76" customWidth="1"/>
    <col min="17" max="17" width="9.140625" style="76" customWidth="1"/>
    <col min="18" max="16384" width="9.140625" style="76" hidden="1"/>
  </cols>
  <sheetData>
    <row r="1" spans="1:13" ht="14.1" customHeight="1" x14ac:dyDescent="0.25">
      <c r="A1" s="23"/>
      <c r="B1" s="22"/>
      <c r="C1" s="23"/>
      <c r="D1" s="23"/>
      <c r="E1" s="23"/>
      <c r="F1" s="23"/>
      <c r="G1" s="22"/>
      <c r="H1" s="22"/>
    </row>
    <row r="2" spans="1:13" ht="14.1" customHeight="1" x14ac:dyDescent="0.25">
      <c r="A2" s="23"/>
      <c r="B2" s="22"/>
      <c r="C2" s="23"/>
      <c r="D2" s="23"/>
      <c r="E2" s="23"/>
      <c r="F2" s="23"/>
      <c r="G2" s="22"/>
      <c r="H2" s="22"/>
    </row>
    <row r="3" spans="1:13" ht="14.1" customHeight="1" x14ac:dyDescent="0.25">
      <c r="A3" s="135"/>
      <c r="B3" s="22"/>
      <c r="C3" s="135"/>
      <c r="D3" s="135"/>
      <c r="E3" s="135"/>
      <c r="F3" s="135"/>
      <c r="G3" s="22"/>
      <c r="H3" s="22"/>
    </row>
    <row r="4" spans="1:13" ht="14.1" customHeight="1" x14ac:dyDescent="0.25">
      <c r="A4" s="135"/>
      <c r="B4" s="22"/>
      <c r="C4" s="135"/>
      <c r="D4" s="135"/>
      <c r="E4" s="135"/>
      <c r="F4" s="135"/>
      <c r="G4" s="22"/>
      <c r="H4" s="22"/>
    </row>
    <row r="5" spans="1:13" ht="14.1" customHeight="1" x14ac:dyDescent="0.25">
      <c r="A5" s="23"/>
      <c r="B5" s="22"/>
      <c r="C5" s="23"/>
      <c r="D5" s="23"/>
      <c r="E5" s="23"/>
      <c r="F5" s="23"/>
      <c r="G5" s="22"/>
      <c r="H5" s="22"/>
    </row>
    <row r="6" spans="1:13" ht="14.1" customHeight="1" x14ac:dyDescent="0.25">
      <c r="A6" s="23"/>
      <c r="B6" s="22"/>
      <c r="C6" s="23"/>
      <c r="D6" s="23"/>
      <c r="E6" s="23"/>
      <c r="F6" s="23"/>
      <c r="G6" s="22"/>
      <c r="H6" s="22"/>
    </row>
    <row r="7" spans="1:13" ht="14.1" customHeight="1" x14ac:dyDescent="0.25">
      <c r="A7" s="23"/>
      <c r="B7" s="22"/>
      <c r="C7" s="23"/>
      <c r="D7" s="23"/>
      <c r="E7" s="23"/>
      <c r="F7" s="23"/>
      <c r="G7" s="22"/>
      <c r="H7" s="22"/>
    </row>
    <row r="8" spans="1:13" ht="14.1" customHeight="1" x14ac:dyDescent="0.25">
      <c r="A8" s="23"/>
      <c r="B8" s="22"/>
      <c r="C8" s="23"/>
      <c r="D8" s="23"/>
      <c r="E8" s="23"/>
      <c r="F8" s="23"/>
      <c r="G8" s="22"/>
      <c r="H8" s="22"/>
    </row>
    <row r="9" spans="1:13" ht="14.1" customHeight="1" x14ac:dyDescent="0.25">
      <c r="A9" s="23"/>
      <c r="B9" s="22"/>
      <c r="C9" s="23"/>
      <c r="D9" s="23"/>
      <c r="E9" s="23"/>
      <c r="F9" s="23"/>
      <c r="G9" s="22"/>
      <c r="H9" s="22"/>
    </row>
    <row r="10" spans="1:13" ht="15.75" customHeight="1" x14ac:dyDescent="0.25">
      <c r="A10" s="23"/>
      <c r="F10" s="23"/>
      <c r="G10" s="22"/>
      <c r="H10" s="22"/>
    </row>
    <row r="11" spans="1:13" ht="15.75" customHeight="1" x14ac:dyDescent="0.25">
      <c r="A11" s="23"/>
      <c r="B11" s="221" t="s">
        <v>72</v>
      </c>
      <c r="C11" s="221"/>
      <c r="D11" s="221"/>
      <c r="E11" s="221"/>
      <c r="F11" s="23"/>
      <c r="G11" s="22"/>
      <c r="H11" s="22"/>
      <c r="K11" s="23"/>
      <c r="L11" s="147" t="s">
        <v>74</v>
      </c>
      <c r="M11" s="147" t="s">
        <v>75</v>
      </c>
    </row>
    <row r="12" spans="1:13" ht="15.75" customHeight="1" x14ac:dyDescent="0.25">
      <c r="A12" s="23"/>
      <c r="B12" s="165" t="s">
        <v>54</v>
      </c>
      <c r="C12" s="165"/>
      <c r="D12" s="165"/>
      <c r="E12" s="165"/>
      <c r="I12" s="230" t="s">
        <v>54</v>
      </c>
      <c r="J12" s="230"/>
      <c r="K12" s="230"/>
      <c r="L12" s="28">
        <f>N42</f>
        <v>0</v>
      </c>
      <c r="M12" s="190">
        <f>N41</f>
        <v>0</v>
      </c>
    </row>
    <row r="13" spans="1:13" ht="15.75" customHeight="1" x14ac:dyDescent="0.25">
      <c r="A13" s="23"/>
      <c r="B13" s="294" t="s">
        <v>59</v>
      </c>
      <c r="C13" s="294"/>
      <c r="D13" s="294"/>
      <c r="E13" s="294"/>
      <c r="I13" s="291" t="s">
        <v>58</v>
      </c>
      <c r="J13" s="291"/>
      <c r="K13" s="291"/>
      <c r="L13" s="28">
        <f>P67</f>
        <v>0</v>
      </c>
      <c r="M13" s="275">
        <f>P66</f>
        <v>0</v>
      </c>
    </row>
    <row r="14" spans="1:13" ht="15.75" customHeight="1" x14ac:dyDescent="0.25">
      <c r="A14" s="23"/>
      <c r="B14" s="294" t="s">
        <v>13</v>
      </c>
      <c r="C14" s="294"/>
      <c r="D14" s="294"/>
      <c r="E14" s="294"/>
      <c r="I14" s="280" t="s">
        <v>56</v>
      </c>
      <c r="J14" s="293"/>
      <c r="K14" s="281"/>
      <c r="L14" s="199">
        <f>P68</f>
        <v>0</v>
      </c>
      <c r="M14" s="275"/>
    </row>
    <row r="15" spans="1:13" ht="15.75" customHeight="1" x14ac:dyDescent="0.25">
      <c r="A15" s="23"/>
      <c r="B15" s="299"/>
      <c r="C15" s="299"/>
      <c r="D15" s="299"/>
      <c r="E15" s="299"/>
      <c r="I15" s="296" t="s">
        <v>190</v>
      </c>
      <c r="J15" s="297"/>
      <c r="K15" s="298"/>
      <c r="L15" s="199">
        <f>P69</f>
        <v>0</v>
      </c>
      <c r="M15" s="275"/>
    </row>
    <row r="16" spans="1:13" ht="15.75" customHeight="1" x14ac:dyDescent="0.25">
      <c r="A16" s="23"/>
      <c r="B16" s="77"/>
      <c r="C16" s="77"/>
      <c r="D16" s="77"/>
      <c r="E16" s="77"/>
      <c r="I16" s="280" t="s">
        <v>13</v>
      </c>
      <c r="J16" s="293"/>
      <c r="K16" s="281"/>
      <c r="L16" s="199">
        <f>M90+O99</f>
        <v>0</v>
      </c>
      <c r="M16" s="275">
        <f>M89+O98</f>
        <v>0</v>
      </c>
    </row>
    <row r="17" spans="1:17" ht="15.75" customHeight="1" x14ac:dyDescent="0.25">
      <c r="A17" s="23"/>
      <c r="B17" s="77"/>
      <c r="C17" s="77"/>
      <c r="D17" s="77"/>
      <c r="E17" s="77"/>
      <c r="I17" s="282" t="s">
        <v>191</v>
      </c>
      <c r="J17" s="303"/>
      <c r="K17" s="283"/>
      <c r="L17" s="199">
        <f>O100</f>
        <v>0</v>
      </c>
      <c r="M17" s="275"/>
    </row>
    <row r="18" spans="1:17" ht="15.75" customHeight="1" x14ac:dyDescent="0.25">
      <c r="A18" s="23"/>
      <c r="B18" s="77"/>
      <c r="C18" s="77"/>
      <c r="D18" s="77"/>
      <c r="E18" s="77"/>
      <c r="I18" s="48"/>
      <c r="J18" s="48"/>
      <c r="K18" s="48"/>
      <c r="L18" s="143" t="s">
        <v>86</v>
      </c>
      <c r="M18" s="179">
        <f>SUM(M12:M16)</f>
        <v>0</v>
      </c>
    </row>
    <row r="19" spans="1:17" ht="15.75" customHeight="1" x14ac:dyDescent="0.25">
      <c r="A19" s="23"/>
      <c r="B19" s="77"/>
      <c r="C19" s="77"/>
      <c r="D19" s="77"/>
      <c r="E19" s="77"/>
      <c r="I19" s="48"/>
      <c r="J19" s="48"/>
      <c r="K19" s="48"/>
      <c r="L19" s="79"/>
      <c r="M19" s="80"/>
    </row>
    <row r="20" spans="1:17" ht="15.75" customHeight="1" x14ac:dyDescent="0.25">
      <c r="A20" s="23"/>
      <c r="B20" s="77"/>
      <c r="C20" s="77"/>
      <c r="D20" s="77"/>
      <c r="E20" s="77"/>
      <c r="I20" s="48"/>
      <c r="J20" s="48"/>
      <c r="K20" s="48"/>
      <c r="L20" s="79"/>
      <c r="M20" s="80"/>
    </row>
    <row r="21" spans="1:17" ht="15.75" customHeight="1" x14ac:dyDescent="0.25">
      <c r="A21" s="23"/>
      <c r="B21" s="295"/>
      <c r="C21" s="295"/>
      <c r="D21" s="295"/>
      <c r="E21" s="295"/>
      <c r="F21" s="272" t="s">
        <v>73</v>
      </c>
      <c r="G21" s="272"/>
    </row>
    <row r="22" spans="1:17" ht="15.75" customHeight="1" x14ac:dyDescent="0.25">
      <c r="A22" s="23"/>
      <c r="B22" s="81"/>
      <c r="C22" s="81"/>
      <c r="D22" s="81"/>
      <c r="E22" s="81"/>
      <c r="F22" s="82"/>
      <c r="G22" s="82"/>
    </row>
    <row r="23" spans="1:17" s="48" customFormat="1" ht="14.1" customHeight="1" x14ac:dyDescent="0.25">
      <c r="F23" s="76"/>
      <c r="G23" s="76"/>
      <c r="I23" s="76"/>
      <c r="J23" s="76"/>
      <c r="K23" s="76"/>
      <c r="L23" s="76"/>
      <c r="M23" s="76"/>
    </row>
    <row r="24" spans="1:17" s="83" customFormat="1" ht="30" customHeight="1" x14ac:dyDescent="0.25">
      <c r="A24" s="224" t="s">
        <v>53</v>
      </c>
      <c r="B24" s="224"/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</row>
    <row r="26" spans="1:17" ht="28.5" customHeight="1" x14ac:dyDescent="0.25">
      <c r="B26" s="301" t="s">
        <v>136</v>
      </c>
      <c r="C26" s="302"/>
      <c r="D26" s="302"/>
      <c r="E26" s="302"/>
    </row>
    <row r="27" spans="1:17" ht="14.1" customHeight="1" x14ac:dyDescent="0.25">
      <c r="B27" s="276" t="s">
        <v>137</v>
      </c>
      <c r="C27" s="276"/>
      <c r="D27" s="276"/>
      <c r="E27" s="8">
        <v>0</v>
      </c>
      <c r="K27" s="76" t="s">
        <v>142</v>
      </c>
    </row>
    <row r="28" spans="1:17" ht="14.1" customHeight="1" x14ac:dyDescent="0.25">
      <c r="B28" s="276" t="s">
        <v>192</v>
      </c>
      <c r="C28" s="276"/>
      <c r="D28" s="276"/>
      <c r="E28" s="8">
        <v>0</v>
      </c>
      <c r="K28" s="271" t="s">
        <v>143</v>
      </c>
      <c r="L28" s="271"/>
      <c r="M28" s="271"/>
      <c r="N28" s="271"/>
    </row>
    <row r="29" spans="1:17" ht="14.1" customHeight="1" x14ac:dyDescent="0.25">
      <c r="B29" s="276" t="s">
        <v>156</v>
      </c>
      <c r="C29" s="276"/>
      <c r="D29" s="276"/>
      <c r="E29" s="8">
        <v>0</v>
      </c>
      <c r="K29" s="271" t="s">
        <v>193</v>
      </c>
      <c r="L29" s="271"/>
      <c r="M29" s="271"/>
      <c r="N29" s="271"/>
    </row>
    <row r="30" spans="1:17" ht="14.1" customHeight="1" x14ac:dyDescent="0.25">
      <c r="B30" s="276" t="s">
        <v>139</v>
      </c>
      <c r="C30" s="276"/>
      <c r="D30" s="276"/>
      <c r="E30" s="8">
        <v>310</v>
      </c>
      <c r="K30" s="271" t="s">
        <v>91</v>
      </c>
      <c r="L30" s="271"/>
      <c r="M30" s="271"/>
      <c r="N30" s="271"/>
    </row>
    <row r="31" spans="1:17" ht="14.1" customHeight="1" x14ac:dyDescent="0.25">
      <c r="B31" s="300" t="s">
        <v>140</v>
      </c>
      <c r="C31" s="300"/>
      <c r="D31" s="300"/>
      <c r="E31" s="84">
        <f>(((PI()*(E27/2)^2)-(PI()*(E28/2)^2))*E29)/1000/E30</f>
        <v>0</v>
      </c>
      <c r="K31" s="271" t="s">
        <v>92</v>
      </c>
      <c r="L31" s="271"/>
      <c r="M31" s="271"/>
      <c r="N31" s="271"/>
    </row>
    <row r="35" spans="1:17" ht="14.1" customHeight="1" x14ac:dyDescent="0.25">
      <c r="J35" s="33"/>
      <c r="K35" s="33"/>
      <c r="L35" s="33"/>
      <c r="M35" s="33"/>
    </row>
    <row r="36" spans="1:17" ht="20.100000000000001" customHeight="1" x14ac:dyDescent="0.25">
      <c r="B36" s="238" t="s">
        <v>194</v>
      </c>
      <c r="C36" s="239"/>
      <c r="D36" s="239"/>
      <c r="E36" s="239"/>
      <c r="F36" s="239"/>
      <c r="G36" s="239"/>
      <c r="H36" s="239"/>
      <c r="I36" s="239"/>
      <c r="J36" s="239"/>
      <c r="K36" s="239"/>
      <c r="L36" s="239"/>
      <c r="M36" s="239"/>
      <c r="N36" s="240"/>
    </row>
    <row r="37" spans="1:17" ht="28.5" customHeight="1" x14ac:dyDescent="0.25">
      <c r="B37" s="228" t="s">
        <v>74</v>
      </c>
      <c r="C37" s="280" t="s">
        <v>195</v>
      </c>
      <c r="D37" s="281"/>
      <c r="E37" s="228" t="s">
        <v>198</v>
      </c>
      <c r="F37" s="230"/>
      <c r="G37" s="230"/>
      <c r="H37" s="230"/>
      <c r="I37" s="228" t="s">
        <v>199</v>
      </c>
      <c r="J37" s="228"/>
      <c r="K37" s="228"/>
      <c r="L37" s="228"/>
      <c r="M37" s="228" t="s">
        <v>201</v>
      </c>
      <c r="N37" s="228" t="s">
        <v>86</v>
      </c>
    </row>
    <row r="38" spans="1:17" ht="14.1" customHeight="1" x14ac:dyDescent="0.25">
      <c r="B38" s="228"/>
      <c r="C38" s="282"/>
      <c r="D38" s="283"/>
      <c r="E38" s="192" t="s">
        <v>0</v>
      </c>
      <c r="F38" s="192" t="s">
        <v>1</v>
      </c>
      <c r="G38" s="192" t="s">
        <v>2</v>
      </c>
      <c r="H38" s="192" t="s">
        <v>3</v>
      </c>
      <c r="I38" s="192" t="s">
        <v>5</v>
      </c>
      <c r="J38" s="192" t="s">
        <v>200</v>
      </c>
      <c r="K38" s="192" t="s">
        <v>2</v>
      </c>
      <c r="L38" s="192" t="s">
        <v>3</v>
      </c>
      <c r="M38" s="228"/>
      <c r="N38" s="228"/>
    </row>
    <row r="39" spans="1:17" ht="16.5" customHeight="1" x14ac:dyDescent="0.25">
      <c r="B39" s="1"/>
      <c r="C39" s="286" t="s">
        <v>196</v>
      </c>
      <c r="D39" s="287"/>
      <c r="E39" s="195">
        <v>0.5</v>
      </c>
      <c r="F39" s="180">
        <v>2.4</v>
      </c>
      <c r="G39" s="9">
        <v>0</v>
      </c>
      <c r="H39" s="166">
        <f>F39*(1-G39)*E39</f>
        <v>1.2</v>
      </c>
      <c r="I39" s="196">
        <v>0.1</v>
      </c>
      <c r="J39" s="200">
        <v>0</v>
      </c>
      <c r="K39" s="9">
        <v>0</v>
      </c>
      <c r="L39" s="166">
        <f>J39*(1-K39)*I39</f>
        <v>0</v>
      </c>
      <c r="M39" s="166">
        <f>L39+H39</f>
        <v>1.2</v>
      </c>
      <c r="N39" s="166">
        <f>M39*B39</f>
        <v>0</v>
      </c>
    </row>
    <row r="40" spans="1:17" ht="16.5" customHeight="1" x14ac:dyDescent="0.25">
      <c r="B40" s="1"/>
      <c r="C40" s="286" t="s">
        <v>197</v>
      </c>
      <c r="D40" s="287"/>
      <c r="E40" s="195">
        <v>1.1000000000000001</v>
      </c>
      <c r="F40" s="180">
        <v>2.4</v>
      </c>
      <c r="G40" s="85">
        <f>$G$39</f>
        <v>0</v>
      </c>
      <c r="H40" s="166">
        <f>F40*(1-G40)*E40</f>
        <v>2.64</v>
      </c>
      <c r="I40" s="196">
        <v>0.1</v>
      </c>
      <c r="J40" s="180">
        <f>$J$39</f>
        <v>0</v>
      </c>
      <c r="K40" s="38">
        <f>$K$39</f>
        <v>0</v>
      </c>
      <c r="L40" s="181">
        <f>J40*(1-K40)*I40</f>
        <v>0</v>
      </c>
      <c r="M40" s="181">
        <f>L40+H40</f>
        <v>2.64</v>
      </c>
      <c r="N40" s="181">
        <f>M40*B40</f>
        <v>0</v>
      </c>
    </row>
    <row r="41" spans="1:17" ht="14.1" customHeight="1" x14ac:dyDescent="0.25">
      <c r="K41" s="218" t="s">
        <v>86</v>
      </c>
      <c r="L41" s="219"/>
      <c r="M41" s="223"/>
      <c r="N41" s="170">
        <f>SUM($N$39:$N$40)</f>
        <v>0</v>
      </c>
    </row>
    <row r="42" spans="1:17" ht="14.1" customHeight="1" x14ac:dyDescent="0.25">
      <c r="K42" s="218" t="s">
        <v>202</v>
      </c>
      <c r="L42" s="219"/>
      <c r="M42" s="223"/>
      <c r="N42" s="151">
        <f>SUMPRODUCT(B39:B40,E39:E40)</f>
        <v>0</v>
      </c>
    </row>
    <row r="45" spans="1:17" ht="14.1" customHeight="1" x14ac:dyDescent="0.25">
      <c r="A45" s="278" t="s">
        <v>81</v>
      </c>
      <c r="B45" s="278"/>
      <c r="C45" s="278"/>
    </row>
    <row r="46" spans="1:17" ht="14.1" customHeight="1" x14ac:dyDescent="0.25">
      <c r="B46" s="231"/>
      <c r="C46" s="231"/>
      <c r="D46" s="231"/>
    </row>
    <row r="47" spans="1:17" ht="30" customHeight="1" x14ac:dyDescent="0.25">
      <c r="A47" s="224" t="s">
        <v>59</v>
      </c>
      <c r="B47" s="224"/>
      <c r="C47" s="224"/>
      <c r="D47" s="224"/>
      <c r="E47" s="224"/>
      <c r="F47" s="224"/>
      <c r="G47" s="224"/>
      <c r="H47" s="224"/>
      <c r="I47" s="224"/>
      <c r="J47" s="224"/>
      <c r="K47" s="224"/>
      <c r="L47" s="224"/>
      <c r="M47" s="224"/>
      <c r="N47" s="224"/>
      <c r="O47" s="224"/>
      <c r="P47" s="224"/>
      <c r="Q47" s="224"/>
    </row>
    <row r="49" spans="2:16" ht="14.1" customHeight="1" x14ac:dyDescent="0.25">
      <c r="J49" s="225" t="s">
        <v>161</v>
      </c>
      <c r="K49" s="225"/>
      <c r="L49" s="225"/>
      <c r="M49" s="225"/>
    </row>
    <row r="50" spans="2:16" ht="14.1" customHeight="1" x14ac:dyDescent="0.25">
      <c r="J50" s="225" t="s">
        <v>164</v>
      </c>
      <c r="K50" s="225"/>
      <c r="L50" s="225"/>
      <c r="M50" s="225"/>
    </row>
    <row r="51" spans="2:16" ht="14.1" customHeight="1" x14ac:dyDescent="0.25">
      <c r="J51" s="225" t="s">
        <v>162</v>
      </c>
      <c r="K51" s="225"/>
      <c r="L51" s="225"/>
      <c r="M51" s="225"/>
    </row>
    <row r="52" spans="2:16" ht="14.1" customHeight="1" x14ac:dyDescent="0.25">
      <c r="J52" s="271" t="s">
        <v>91</v>
      </c>
      <c r="K52" s="271"/>
      <c r="L52" s="271"/>
      <c r="M52" s="271"/>
    </row>
    <row r="53" spans="2:16" ht="14.1" customHeight="1" x14ac:dyDescent="0.25">
      <c r="C53" s="145" t="s">
        <v>205</v>
      </c>
      <c r="D53" s="145" t="s">
        <v>204</v>
      </c>
      <c r="E53" s="230" t="s">
        <v>203</v>
      </c>
      <c r="F53" s="230"/>
      <c r="G53" s="230"/>
      <c r="J53" s="271" t="s">
        <v>92</v>
      </c>
      <c r="K53" s="271"/>
      <c r="L53" s="271"/>
      <c r="M53" s="271"/>
    </row>
    <row r="54" spans="2:16" ht="14.1" customHeight="1" x14ac:dyDescent="0.25">
      <c r="B54" s="152" t="s">
        <v>206</v>
      </c>
      <c r="C54" s="8"/>
      <c r="D54" s="8"/>
      <c r="E54" s="288">
        <f>((C54*D54)/10000)-((C55*D55)/10000)</f>
        <v>0</v>
      </c>
      <c r="F54" s="289"/>
      <c r="G54" s="290"/>
    </row>
    <row r="55" spans="2:16" ht="14.1" customHeight="1" x14ac:dyDescent="0.25">
      <c r="B55" s="152" t="s">
        <v>207</v>
      </c>
      <c r="C55" s="8"/>
      <c r="D55" s="8"/>
    </row>
    <row r="57" spans="2:16" ht="20.100000000000001" customHeight="1" x14ac:dyDescent="0.25">
      <c r="B57" s="238" t="s">
        <v>34</v>
      </c>
      <c r="C57" s="239"/>
      <c r="D57" s="239"/>
      <c r="E57" s="239"/>
      <c r="F57" s="239"/>
      <c r="G57" s="239"/>
      <c r="H57" s="239"/>
      <c r="I57" s="239"/>
      <c r="J57" s="239"/>
      <c r="K57" s="239"/>
      <c r="L57" s="239"/>
      <c r="M57" s="239"/>
      <c r="N57" s="239"/>
      <c r="O57" s="239"/>
      <c r="P57" s="240"/>
    </row>
    <row r="58" spans="2:16" ht="31.5" customHeight="1" x14ac:dyDescent="0.25">
      <c r="B58" s="228" t="s">
        <v>74</v>
      </c>
      <c r="C58" s="228" t="s">
        <v>208</v>
      </c>
      <c r="D58" s="228" t="s">
        <v>175</v>
      </c>
      <c r="E58" s="230" t="s">
        <v>209</v>
      </c>
      <c r="F58" s="230"/>
      <c r="G58" s="230"/>
      <c r="H58" s="280" t="s">
        <v>211</v>
      </c>
      <c r="I58" s="293"/>
      <c r="J58" s="293"/>
      <c r="K58" s="281"/>
      <c r="L58" s="260" t="s">
        <v>210</v>
      </c>
      <c r="M58" s="261"/>
      <c r="N58" s="262"/>
      <c r="O58" s="291" t="s">
        <v>107</v>
      </c>
      <c r="P58" s="291" t="s">
        <v>108</v>
      </c>
    </row>
    <row r="59" spans="2:16" ht="14.1" customHeight="1" x14ac:dyDescent="0.25">
      <c r="B59" s="228"/>
      <c r="C59" s="228"/>
      <c r="D59" s="228"/>
      <c r="E59" s="145" t="s">
        <v>0</v>
      </c>
      <c r="F59" s="145" t="s">
        <v>2</v>
      </c>
      <c r="G59" s="145" t="s">
        <v>3</v>
      </c>
      <c r="H59" s="145" t="s">
        <v>14</v>
      </c>
      <c r="I59" s="187" t="s">
        <v>1</v>
      </c>
      <c r="J59" s="145" t="s">
        <v>2</v>
      </c>
      <c r="K59" s="145" t="s">
        <v>3</v>
      </c>
      <c r="L59" s="145" t="s">
        <v>0</v>
      </c>
      <c r="M59" s="145" t="s">
        <v>2</v>
      </c>
      <c r="N59" s="145" t="s">
        <v>3</v>
      </c>
      <c r="O59" s="292"/>
      <c r="P59" s="292"/>
    </row>
    <row r="60" spans="2:16" ht="14.1" customHeight="1" x14ac:dyDescent="0.25">
      <c r="B60" s="1">
        <v>0</v>
      </c>
      <c r="C60" s="44" t="s">
        <v>7</v>
      </c>
      <c r="D60" s="44">
        <v>8.1000000000000003E-2</v>
      </c>
      <c r="E60" s="86">
        <v>2.1999999999999999E-2</v>
      </c>
      <c r="F60" s="9">
        <v>0</v>
      </c>
      <c r="G60" s="166">
        <f t="shared" ref="G60:G65" si="0">64*(1-F60)*E60</f>
        <v>1.4079999999999999</v>
      </c>
      <c r="H60" s="44">
        <v>0.14000000000000001</v>
      </c>
      <c r="I60" s="200">
        <v>0</v>
      </c>
      <c r="J60" s="9">
        <v>0</v>
      </c>
      <c r="K60" s="180">
        <f>I60*(1-J60)*H60</f>
        <v>0</v>
      </c>
      <c r="L60" s="87">
        <v>0.06</v>
      </c>
      <c r="M60" s="9">
        <v>0</v>
      </c>
      <c r="N60" s="166">
        <f t="shared" ref="N60:N65" si="1">82*(1-M60)*L60</f>
        <v>4.92</v>
      </c>
      <c r="O60" s="166">
        <f t="shared" ref="O60:O65" si="2">K60+G60+N60</f>
        <v>6.3279999999999994</v>
      </c>
      <c r="P60" s="166">
        <f t="shared" ref="P60:P65" si="3">O60*B60</f>
        <v>0</v>
      </c>
    </row>
    <row r="61" spans="2:16" ht="14.1" customHeight="1" x14ac:dyDescent="0.25">
      <c r="B61" s="1">
        <v>0</v>
      </c>
      <c r="C61" s="44" t="s">
        <v>8</v>
      </c>
      <c r="D61" s="44">
        <v>0.10299999999999999</v>
      </c>
      <c r="E61" s="86">
        <v>2.8000000000000001E-2</v>
      </c>
      <c r="F61" s="38">
        <f>$F$60</f>
        <v>0</v>
      </c>
      <c r="G61" s="166">
        <f t="shared" si="0"/>
        <v>1.792</v>
      </c>
      <c r="H61" s="44">
        <v>0.18</v>
      </c>
      <c r="I61" s="166">
        <f>$I$60</f>
        <v>0</v>
      </c>
      <c r="J61" s="38">
        <f>$J$60</f>
        <v>0</v>
      </c>
      <c r="K61" s="180">
        <f t="shared" ref="K61:K65" si="4">I61*(1-J61)*H61</f>
        <v>0</v>
      </c>
      <c r="L61" s="87">
        <v>0.11</v>
      </c>
      <c r="M61" s="38">
        <f>$M$60</f>
        <v>0</v>
      </c>
      <c r="N61" s="166">
        <f t="shared" si="1"/>
        <v>9.02</v>
      </c>
      <c r="O61" s="166">
        <f t="shared" si="2"/>
        <v>10.811999999999999</v>
      </c>
      <c r="P61" s="166">
        <f t="shared" si="3"/>
        <v>0</v>
      </c>
    </row>
    <row r="62" spans="2:16" ht="14.1" customHeight="1" x14ac:dyDescent="0.25">
      <c r="B62" s="1">
        <v>0</v>
      </c>
      <c r="C62" s="44" t="s">
        <v>9</v>
      </c>
      <c r="D62" s="44">
        <v>0.125</v>
      </c>
      <c r="E62" s="86">
        <v>3.4000000000000002E-2</v>
      </c>
      <c r="F62" s="38">
        <f t="shared" ref="F62:F65" si="5">$F$60</f>
        <v>0</v>
      </c>
      <c r="G62" s="166">
        <f t="shared" si="0"/>
        <v>2.1760000000000002</v>
      </c>
      <c r="H62" s="44">
        <v>0.22</v>
      </c>
      <c r="I62" s="166">
        <f t="shared" ref="I62:I65" si="6">$I$60</f>
        <v>0</v>
      </c>
      <c r="J62" s="38">
        <f>$J$60</f>
        <v>0</v>
      </c>
      <c r="K62" s="180">
        <f t="shared" si="4"/>
        <v>0</v>
      </c>
      <c r="L62" s="87">
        <v>0.17</v>
      </c>
      <c r="M62" s="38">
        <f>$M$60</f>
        <v>0</v>
      </c>
      <c r="N62" s="166">
        <f t="shared" si="1"/>
        <v>13.940000000000001</v>
      </c>
      <c r="O62" s="166">
        <f t="shared" si="2"/>
        <v>16.116</v>
      </c>
      <c r="P62" s="166">
        <f t="shared" si="3"/>
        <v>0</v>
      </c>
    </row>
    <row r="63" spans="2:16" ht="14.1" customHeight="1" x14ac:dyDescent="0.25">
      <c r="B63" s="1">
        <v>0</v>
      </c>
      <c r="C63" s="44" t="s">
        <v>10</v>
      </c>
      <c r="D63" s="44">
        <v>0.14699999999999999</v>
      </c>
      <c r="E63" s="86">
        <v>0.04</v>
      </c>
      <c r="F63" s="38">
        <f t="shared" si="5"/>
        <v>0</v>
      </c>
      <c r="G63" s="166">
        <f t="shared" si="0"/>
        <v>2.56</v>
      </c>
      <c r="H63" s="44">
        <v>0.26</v>
      </c>
      <c r="I63" s="166">
        <f t="shared" si="6"/>
        <v>0</v>
      </c>
      <c r="J63" s="38">
        <f>$J$60</f>
        <v>0</v>
      </c>
      <c r="K63" s="180">
        <f t="shared" si="4"/>
        <v>0</v>
      </c>
      <c r="L63" s="87">
        <v>0.22</v>
      </c>
      <c r="M63" s="38">
        <f>$M$60</f>
        <v>0</v>
      </c>
      <c r="N63" s="166">
        <f t="shared" si="1"/>
        <v>18.04</v>
      </c>
      <c r="O63" s="166">
        <f t="shared" si="2"/>
        <v>20.599999999999998</v>
      </c>
      <c r="P63" s="166">
        <f t="shared" si="3"/>
        <v>0</v>
      </c>
    </row>
    <row r="64" spans="2:16" ht="14.1" customHeight="1" x14ac:dyDescent="0.25">
      <c r="B64" s="1">
        <v>0</v>
      </c>
      <c r="C64" s="44" t="s">
        <v>11</v>
      </c>
      <c r="D64" s="44">
        <v>0.16900000000000001</v>
      </c>
      <c r="E64" s="86">
        <v>4.5999999999999999E-2</v>
      </c>
      <c r="F64" s="38">
        <f t="shared" si="5"/>
        <v>0</v>
      </c>
      <c r="G64" s="166">
        <f t="shared" si="0"/>
        <v>2.944</v>
      </c>
      <c r="H64" s="87">
        <v>0.3</v>
      </c>
      <c r="I64" s="166">
        <f t="shared" si="6"/>
        <v>0</v>
      </c>
      <c r="J64" s="38">
        <f>$J$60</f>
        <v>0</v>
      </c>
      <c r="K64" s="180">
        <f t="shared" si="4"/>
        <v>0</v>
      </c>
      <c r="L64" s="87">
        <v>0.28000000000000003</v>
      </c>
      <c r="M64" s="38">
        <f>$M$60</f>
        <v>0</v>
      </c>
      <c r="N64" s="166">
        <f t="shared" si="1"/>
        <v>22.96</v>
      </c>
      <c r="O64" s="166">
        <f t="shared" si="2"/>
        <v>25.904</v>
      </c>
      <c r="P64" s="166">
        <f t="shared" si="3"/>
        <v>0</v>
      </c>
    </row>
    <row r="65" spans="1:17" ht="14.1" customHeight="1" x14ac:dyDescent="0.25">
      <c r="B65" s="1">
        <v>0</v>
      </c>
      <c r="C65" s="44" t="s">
        <v>12</v>
      </c>
      <c r="D65" s="44">
        <v>0.191</v>
      </c>
      <c r="E65" s="86">
        <v>5.1999999999999998E-2</v>
      </c>
      <c r="F65" s="38">
        <f t="shared" si="5"/>
        <v>0</v>
      </c>
      <c r="G65" s="166">
        <f t="shared" si="0"/>
        <v>3.3279999999999998</v>
      </c>
      <c r="H65" s="44">
        <v>0.34</v>
      </c>
      <c r="I65" s="166">
        <f t="shared" si="6"/>
        <v>0</v>
      </c>
      <c r="J65" s="38">
        <f>$J$60</f>
        <v>0</v>
      </c>
      <c r="K65" s="180">
        <f t="shared" si="4"/>
        <v>0</v>
      </c>
      <c r="L65" s="87">
        <v>0.33</v>
      </c>
      <c r="M65" s="88">
        <f>$M$60</f>
        <v>0</v>
      </c>
      <c r="N65" s="166">
        <f t="shared" si="1"/>
        <v>27.060000000000002</v>
      </c>
      <c r="O65" s="181">
        <f t="shared" si="2"/>
        <v>30.388000000000002</v>
      </c>
      <c r="P65" s="181">
        <f t="shared" si="3"/>
        <v>0</v>
      </c>
    </row>
    <row r="66" spans="1:17" ht="14.1" customHeight="1" x14ac:dyDescent="0.25">
      <c r="M66" s="304" t="s">
        <v>86</v>
      </c>
      <c r="N66" s="305"/>
      <c r="O66" s="306"/>
      <c r="P66" s="170">
        <f>SUM($P$60:$P$65)</f>
        <v>0</v>
      </c>
    </row>
    <row r="67" spans="1:17" ht="14.1" customHeight="1" x14ac:dyDescent="0.25">
      <c r="M67" s="304" t="s">
        <v>212</v>
      </c>
      <c r="N67" s="305"/>
      <c r="O67" s="306"/>
      <c r="P67" s="153">
        <f>SUMPRODUCT(B60:B65,E60:E65)</f>
        <v>0</v>
      </c>
    </row>
    <row r="68" spans="1:17" ht="14.1" customHeight="1" x14ac:dyDescent="0.25">
      <c r="M68" s="304" t="s">
        <v>213</v>
      </c>
      <c r="N68" s="305"/>
      <c r="O68" s="306"/>
      <c r="P68" s="153">
        <f>SUMPRODUCT(B60:B65,L60:L65)</f>
        <v>0</v>
      </c>
    </row>
    <row r="69" spans="1:17" ht="14.1" customHeight="1" x14ac:dyDescent="0.25">
      <c r="M69" s="304" t="s">
        <v>178</v>
      </c>
      <c r="N69" s="305"/>
      <c r="O69" s="306"/>
      <c r="P69" s="153">
        <f>SUMPRODUCT(B60:B65,H60:H65)</f>
        <v>0</v>
      </c>
    </row>
    <row r="70" spans="1:17" ht="14.1" customHeight="1" x14ac:dyDescent="0.25">
      <c r="A70" s="278" t="s">
        <v>81</v>
      </c>
      <c r="B70" s="278"/>
      <c r="C70" s="278"/>
      <c r="D70" s="50"/>
      <c r="L70" s="48"/>
      <c r="M70" s="48"/>
      <c r="N70" s="48"/>
      <c r="O70" s="48"/>
    </row>
    <row r="71" spans="1:17" ht="14.1" customHeight="1" x14ac:dyDescent="0.25">
      <c r="B71" s="50"/>
      <c r="C71" s="50"/>
      <c r="D71" s="50"/>
      <c r="L71" s="48"/>
      <c r="M71" s="48"/>
      <c r="N71" s="48"/>
      <c r="O71" s="48"/>
    </row>
    <row r="73" spans="1:17" ht="30" customHeight="1" x14ac:dyDescent="0.25">
      <c r="A73" s="224" t="s">
        <v>13</v>
      </c>
      <c r="B73" s="224"/>
      <c r="C73" s="224"/>
      <c r="D73" s="224"/>
      <c r="E73" s="224"/>
      <c r="F73" s="224"/>
      <c r="G73" s="224"/>
      <c r="H73" s="224"/>
      <c r="I73" s="224"/>
      <c r="J73" s="224"/>
      <c r="K73" s="224"/>
      <c r="L73" s="224"/>
      <c r="M73" s="224"/>
      <c r="N73" s="224"/>
      <c r="O73" s="224"/>
      <c r="P73" s="224"/>
      <c r="Q73" s="224"/>
    </row>
    <row r="75" spans="1:17" ht="14.1" customHeight="1" x14ac:dyDescent="0.25">
      <c r="J75" s="225" t="s">
        <v>161</v>
      </c>
      <c r="K75" s="225"/>
      <c r="L75" s="225"/>
      <c r="M75" s="225"/>
    </row>
    <row r="76" spans="1:17" ht="14.1" customHeight="1" x14ac:dyDescent="0.25">
      <c r="J76" s="225" t="s">
        <v>162</v>
      </c>
      <c r="K76" s="225"/>
      <c r="L76" s="225"/>
      <c r="M76" s="225"/>
    </row>
    <row r="77" spans="1:17" ht="14.1" customHeight="1" x14ac:dyDescent="0.25">
      <c r="J77" s="271" t="s">
        <v>91</v>
      </c>
      <c r="K77" s="271"/>
      <c r="L77" s="271"/>
      <c r="M77" s="271"/>
    </row>
    <row r="78" spans="1:17" ht="14.1" customHeight="1" x14ac:dyDescent="0.25">
      <c r="J78" s="271" t="s">
        <v>92</v>
      </c>
      <c r="K78" s="271"/>
      <c r="L78" s="271"/>
      <c r="M78" s="271"/>
    </row>
    <row r="81" spans="2:15" ht="20.100000000000001" customHeight="1" x14ac:dyDescent="0.25">
      <c r="C81" s="238" t="s">
        <v>214</v>
      </c>
      <c r="D81" s="239"/>
      <c r="E81" s="239"/>
      <c r="F81" s="239"/>
      <c r="G81" s="239"/>
      <c r="H81" s="239"/>
      <c r="I81" s="239"/>
      <c r="J81" s="239"/>
      <c r="K81" s="239"/>
      <c r="L81" s="239"/>
      <c r="M81" s="240"/>
    </row>
    <row r="82" spans="2:15" ht="29.25" customHeight="1" x14ac:dyDescent="0.25">
      <c r="C82" s="145"/>
      <c r="D82" s="230" t="s">
        <v>218</v>
      </c>
      <c r="E82" s="230"/>
      <c r="F82" s="230"/>
      <c r="G82" s="228" t="s">
        <v>216</v>
      </c>
      <c r="H82" s="228" t="s">
        <v>217</v>
      </c>
      <c r="I82" s="228" t="s">
        <v>219</v>
      </c>
      <c r="J82" s="230"/>
      <c r="K82" s="230"/>
      <c r="L82" s="230"/>
      <c r="M82" s="228" t="s">
        <v>188</v>
      </c>
    </row>
    <row r="83" spans="2:15" ht="29.25" customHeight="1" x14ac:dyDescent="0.25">
      <c r="C83" s="145"/>
      <c r="D83" s="145" t="s">
        <v>182</v>
      </c>
      <c r="E83" s="145" t="s">
        <v>183</v>
      </c>
      <c r="F83" s="145" t="s">
        <v>215</v>
      </c>
      <c r="G83" s="228"/>
      <c r="H83" s="228"/>
      <c r="I83" s="139" t="s">
        <v>0</v>
      </c>
      <c r="J83" s="139" t="s">
        <v>1</v>
      </c>
      <c r="K83" s="139" t="s">
        <v>2</v>
      </c>
      <c r="L83" s="139" t="s">
        <v>3</v>
      </c>
      <c r="M83" s="228"/>
    </row>
    <row r="84" spans="2:15" ht="14.1" customHeight="1" x14ac:dyDescent="0.25">
      <c r="C84" s="44">
        <v>1</v>
      </c>
      <c r="D84" s="1"/>
      <c r="E84" s="1"/>
      <c r="F84" s="1"/>
      <c r="G84" s="89">
        <f>D84*E84*F84</f>
        <v>0</v>
      </c>
      <c r="H84" s="44">
        <v>38</v>
      </c>
      <c r="I84" s="90">
        <f>(G84/(H84*1000))</f>
        <v>0</v>
      </c>
      <c r="J84" s="166">
        <v>8</v>
      </c>
      <c r="K84" s="2">
        <v>0</v>
      </c>
      <c r="L84" s="166">
        <f>J84*(1-K84)</f>
        <v>8</v>
      </c>
      <c r="M84" s="166">
        <f>J84*(1-K84)*I84</f>
        <v>0</v>
      </c>
    </row>
    <row r="85" spans="2:15" ht="14.1" customHeight="1" x14ac:dyDescent="0.25">
      <c r="C85" s="44">
        <v>2</v>
      </c>
      <c r="D85" s="1"/>
      <c r="E85" s="1"/>
      <c r="F85" s="1"/>
      <c r="G85" s="89">
        <f t="shared" ref="G85:G88" si="7">D85*E85*F85</f>
        <v>0</v>
      </c>
      <c r="H85" s="44">
        <v>38</v>
      </c>
      <c r="I85" s="90">
        <f>(G85/(H85*1000))</f>
        <v>0</v>
      </c>
      <c r="J85" s="166">
        <v>8</v>
      </c>
      <c r="K85" s="38">
        <f>$K$84</f>
        <v>0</v>
      </c>
      <c r="L85" s="166">
        <f t="shared" ref="L85:L88" si="8">J85*(1-K85)</f>
        <v>8</v>
      </c>
      <c r="M85" s="166">
        <f>J85*(1-K85)*I85</f>
        <v>0</v>
      </c>
    </row>
    <row r="86" spans="2:15" ht="14.1" customHeight="1" x14ac:dyDescent="0.25">
      <c r="C86" s="44">
        <v>3</v>
      </c>
      <c r="D86" s="1"/>
      <c r="E86" s="1"/>
      <c r="F86" s="1"/>
      <c r="G86" s="89">
        <f t="shared" si="7"/>
        <v>0</v>
      </c>
      <c r="H86" s="44">
        <v>38</v>
      </c>
      <c r="I86" s="90">
        <f>(G86/(H86*1000))</f>
        <v>0</v>
      </c>
      <c r="J86" s="166">
        <v>8</v>
      </c>
      <c r="K86" s="38">
        <f t="shared" ref="K86:K88" si="9">$K$84</f>
        <v>0</v>
      </c>
      <c r="L86" s="166">
        <f t="shared" si="8"/>
        <v>8</v>
      </c>
      <c r="M86" s="166">
        <f>J86*(1-K86)*I86</f>
        <v>0</v>
      </c>
    </row>
    <row r="87" spans="2:15" ht="14.1" customHeight="1" x14ac:dyDescent="0.25">
      <c r="C87" s="44">
        <v>4</v>
      </c>
      <c r="D87" s="1"/>
      <c r="E87" s="1"/>
      <c r="F87" s="1"/>
      <c r="G87" s="89">
        <f t="shared" si="7"/>
        <v>0</v>
      </c>
      <c r="H87" s="44">
        <v>38</v>
      </c>
      <c r="I87" s="90">
        <f>(G87/(H87*1000))</f>
        <v>0</v>
      </c>
      <c r="J87" s="166">
        <v>8</v>
      </c>
      <c r="K87" s="38">
        <f t="shared" si="9"/>
        <v>0</v>
      </c>
      <c r="L87" s="166">
        <f t="shared" si="8"/>
        <v>8</v>
      </c>
      <c r="M87" s="166">
        <f>J87*(1-K87)*I87</f>
        <v>0</v>
      </c>
    </row>
    <row r="88" spans="2:15" ht="14.1" customHeight="1" x14ac:dyDescent="0.25">
      <c r="C88" s="44">
        <v>5</v>
      </c>
      <c r="D88" s="1"/>
      <c r="E88" s="1"/>
      <c r="F88" s="1"/>
      <c r="G88" s="89">
        <f t="shared" si="7"/>
        <v>0</v>
      </c>
      <c r="H88" s="44">
        <v>38</v>
      </c>
      <c r="I88" s="90">
        <f>(G88/(H88*1000))</f>
        <v>0</v>
      </c>
      <c r="J88" s="166">
        <v>8</v>
      </c>
      <c r="K88" s="38">
        <f t="shared" si="9"/>
        <v>0</v>
      </c>
      <c r="L88" s="166">
        <f t="shared" si="8"/>
        <v>8</v>
      </c>
      <c r="M88" s="166">
        <f>J88*(1-K88)*I88</f>
        <v>0</v>
      </c>
    </row>
    <row r="89" spans="2:15" ht="14.1" customHeight="1" x14ac:dyDescent="0.25">
      <c r="K89" s="230" t="s">
        <v>86</v>
      </c>
      <c r="L89" s="230"/>
      <c r="M89" s="170">
        <f>SUM(M84:M88)</f>
        <v>0</v>
      </c>
    </row>
    <row r="90" spans="2:15" ht="14.1" customHeight="1" x14ac:dyDescent="0.25">
      <c r="K90" s="230" t="s">
        <v>189</v>
      </c>
      <c r="L90" s="230"/>
      <c r="M90" s="154">
        <f>SUM(I84:I88)</f>
        <v>0</v>
      </c>
    </row>
    <row r="93" spans="2:15" ht="20.100000000000001" customHeight="1" x14ac:dyDescent="0.25">
      <c r="B93" s="238" t="s">
        <v>220</v>
      </c>
      <c r="C93" s="239"/>
      <c r="D93" s="239"/>
      <c r="E93" s="239"/>
      <c r="F93" s="239"/>
      <c r="G93" s="239"/>
      <c r="H93" s="239"/>
      <c r="I93" s="239"/>
      <c r="J93" s="239"/>
      <c r="K93" s="239"/>
      <c r="L93" s="239"/>
      <c r="M93" s="239"/>
      <c r="N93" s="239"/>
      <c r="O93" s="240"/>
    </row>
    <row r="94" spans="2:15" ht="28.5" customHeight="1" x14ac:dyDescent="0.25">
      <c r="B94" s="230" t="s">
        <v>218</v>
      </c>
      <c r="C94" s="230"/>
      <c r="D94" s="230"/>
      <c r="E94" s="228" t="s">
        <v>216</v>
      </c>
      <c r="F94" s="228" t="s">
        <v>217</v>
      </c>
      <c r="G94" s="228" t="s">
        <v>219</v>
      </c>
      <c r="H94" s="230"/>
      <c r="I94" s="230"/>
      <c r="J94" s="230"/>
      <c r="K94" s="218" t="s">
        <v>222</v>
      </c>
      <c r="L94" s="219"/>
      <c r="M94" s="219"/>
      <c r="N94" s="223"/>
      <c r="O94" s="228" t="s">
        <v>188</v>
      </c>
    </row>
    <row r="95" spans="2:15" ht="31.5" customHeight="1" x14ac:dyDescent="0.25">
      <c r="B95" s="192" t="s">
        <v>182</v>
      </c>
      <c r="C95" s="192" t="s">
        <v>183</v>
      </c>
      <c r="D95" s="193" t="s">
        <v>221</v>
      </c>
      <c r="E95" s="228"/>
      <c r="F95" s="228"/>
      <c r="G95" s="187" t="s">
        <v>0</v>
      </c>
      <c r="H95" s="187" t="s">
        <v>1</v>
      </c>
      <c r="I95" s="187" t="s">
        <v>2</v>
      </c>
      <c r="J95" s="187" t="s">
        <v>3</v>
      </c>
      <c r="K95" s="187" t="s">
        <v>5</v>
      </c>
      <c r="L95" s="189" t="s">
        <v>200</v>
      </c>
      <c r="M95" s="187" t="s">
        <v>2</v>
      </c>
      <c r="N95" s="187" t="s">
        <v>3</v>
      </c>
      <c r="O95" s="228"/>
    </row>
    <row r="96" spans="2:15" ht="14.1" customHeight="1" x14ac:dyDescent="0.25">
      <c r="B96" s="1"/>
      <c r="C96" s="1"/>
      <c r="D96" s="1"/>
      <c r="E96" s="99">
        <f>10*B96*C96</f>
        <v>0</v>
      </c>
      <c r="F96" s="99">
        <v>38</v>
      </c>
      <c r="G96" s="201">
        <f>E96/(F96*1000)</f>
        <v>0</v>
      </c>
      <c r="H96" s="166">
        <v>8</v>
      </c>
      <c r="I96" s="9">
        <v>0</v>
      </c>
      <c r="J96" s="166">
        <f>H96*(1-I96)*G96</f>
        <v>0</v>
      </c>
      <c r="K96" s="87">
        <f>(((B96*C96*D96)-E96)/1000000)*90</f>
        <v>0</v>
      </c>
      <c r="L96" s="200">
        <v>0</v>
      </c>
      <c r="M96" s="9">
        <v>0</v>
      </c>
      <c r="N96" s="166">
        <f>L96*(1-M96)</f>
        <v>0</v>
      </c>
      <c r="O96" s="166">
        <f>N96*K96+J96*G96</f>
        <v>0</v>
      </c>
    </row>
    <row r="97" spans="1:15" ht="13.5" customHeight="1" x14ac:dyDescent="0.25">
      <c r="B97" s="1"/>
      <c r="C97" s="1"/>
      <c r="D97" s="1"/>
      <c r="E97" s="99">
        <f>10*B97*C97</f>
        <v>0</v>
      </c>
      <c r="F97" s="99">
        <v>39</v>
      </c>
      <c r="G97" s="201">
        <f>E97/(F97*1000)</f>
        <v>0</v>
      </c>
      <c r="H97" s="166">
        <v>8</v>
      </c>
      <c r="I97" s="38">
        <f>I96</f>
        <v>0</v>
      </c>
      <c r="J97" s="166">
        <f>H97*(1-I97)*G97</f>
        <v>0</v>
      </c>
      <c r="K97" s="87">
        <f>(((B97*C97*D97)-E97)/1000000)*90</f>
        <v>0</v>
      </c>
      <c r="L97" s="180">
        <f>$L$96</f>
        <v>0</v>
      </c>
      <c r="M97" s="38">
        <f>M96</f>
        <v>0</v>
      </c>
      <c r="N97" s="166">
        <f>L97*(1-M97)</f>
        <v>0</v>
      </c>
      <c r="O97" s="166">
        <f>N97*K97+J97*G97</f>
        <v>0</v>
      </c>
    </row>
    <row r="98" spans="1:15" ht="14.1" customHeight="1" x14ac:dyDescent="0.25"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230" t="s">
        <v>86</v>
      </c>
      <c r="N98" s="230"/>
      <c r="O98" s="170">
        <f>SUM(O93:O97)</f>
        <v>0</v>
      </c>
    </row>
    <row r="99" spans="1:15" ht="14.1" customHeight="1" x14ac:dyDescent="0.25">
      <c r="M99" s="218" t="s">
        <v>189</v>
      </c>
      <c r="N99" s="223"/>
      <c r="O99" s="153">
        <f>SUM(G96:G97)</f>
        <v>0</v>
      </c>
    </row>
    <row r="100" spans="1:15" ht="14.1" customHeight="1" x14ac:dyDescent="0.25">
      <c r="A100" s="278" t="s">
        <v>81</v>
      </c>
      <c r="B100" s="278"/>
      <c r="C100" s="278"/>
      <c r="D100" s="91"/>
      <c r="M100" s="218" t="s">
        <v>223</v>
      </c>
      <c r="N100" s="223"/>
      <c r="O100" s="153">
        <f>SUM(K96:K97)</f>
        <v>0</v>
      </c>
    </row>
  </sheetData>
  <sheetProtection algorithmName="SHA-512" hashValue="hDS6zrcYQym5eAnX+1mI12041+kVlguMRq7WtZVWmE1L0WFtQDlWSJkYkQ0kfPsPTHilwqzo5k4MARJXwZTU8A==" saltValue="QJZPUxoJpzzjfmQlz7gXvQ==" spinCount="100000" sheet="1" objects="1" scenarios="1"/>
  <mergeCells count="84">
    <mergeCell ref="M66:O66"/>
    <mergeCell ref="M67:O67"/>
    <mergeCell ref="M68:O68"/>
    <mergeCell ref="M69:O69"/>
    <mergeCell ref="K41:M41"/>
    <mergeCell ref="K42:M42"/>
    <mergeCell ref="M16:M17"/>
    <mergeCell ref="B46:D46"/>
    <mergeCell ref="D82:F82"/>
    <mergeCell ref="G94:J94"/>
    <mergeCell ref="K89:L89"/>
    <mergeCell ref="K90:L90"/>
    <mergeCell ref="G82:G83"/>
    <mergeCell ref="A70:C70"/>
    <mergeCell ref="B57:P57"/>
    <mergeCell ref="P58:P59"/>
    <mergeCell ref="I16:K16"/>
    <mergeCell ref="I17:K17"/>
    <mergeCell ref="F21:G21"/>
    <mergeCell ref="I37:L37"/>
    <mergeCell ref="M37:M38"/>
    <mergeCell ref="L58:N58"/>
    <mergeCell ref="B11:E11"/>
    <mergeCell ref="B37:B38"/>
    <mergeCell ref="E37:H37"/>
    <mergeCell ref="B36:N36"/>
    <mergeCell ref="A24:Q24"/>
    <mergeCell ref="B14:E14"/>
    <mergeCell ref="B21:E21"/>
    <mergeCell ref="B13:E13"/>
    <mergeCell ref="M13:M15"/>
    <mergeCell ref="I15:K15"/>
    <mergeCell ref="B15:E15"/>
    <mergeCell ref="I12:K12"/>
    <mergeCell ref="I13:K13"/>
    <mergeCell ref="I14:K14"/>
    <mergeCell ref="B31:D31"/>
    <mergeCell ref="B26:E26"/>
    <mergeCell ref="O58:O59"/>
    <mergeCell ref="B58:B59"/>
    <mergeCell ref="C58:C59"/>
    <mergeCell ref="D58:D59"/>
    <mergeCell ref="E58:G58"/>
    <mergeCell ref="H58:K58"/>
    <mergeCell ref="J52:M52"/>
    <mergeCell ref="E53:G53"/>
    <mergeCell ref="J53:M53"/>
    <mergeCell ref="E54:G54"/>
    <mergeCell ref="A47:Q47"/>
    <mergeCell ref="J49:M49"/>
    <mergeCell ref="J50:M50"/>
    <mergeCell ref="J51:M51"/>
    <mergeCell ref="K28:N28"/>
    <mergeCell ref="K29:N29"/>
    <mergeCell ref="C37:D38"/>
    <mergeCell ref="C39:D39"/>
    <mergeCell ref="C40:D40"/>
    <mergeCell ref="K30:N30"/>
    <mergeCell ref="K31:N31"/>
    <mergeCell ref="N37:N38"/>
    <mergeCell ref="J75:M75"/>
    <mergeCell ref="J78:M78"/>
    <mergeCell ref="M99:N99"/>
    <mergeCell ref="A73:Q73"/>
    <mergeCell ref="O94:O95"/>
    <mergeCell ref="B93:O93"/>
    <mergeCell ref="K94:N94"/>
    <mergeCell ref="I82:L82"/>
    <mergeCell ref="M82:M83"/>
    <mergeCell ref="H82:H83"/>
    <mergeCell ref="C81:M81"/>
    <mergeCell ref="J77:M77"/>
    <mergeCell ref="J76:M76"/>
    <mergeCell ref="M100:N100"/>
    <mergeCell ref="E94:E95"/>
    <mergeCell ref="B94:D94"/>
    <mergeCell ref="F94:F95"/>
    <mergeCell ref="M98:N98"/>
    <mergeCell ref="A100:C100"/>
    <mergeCell ref="B27:D27"/>
    <mergeCell ref="B28:D28"/>
    <mergeCell ref="B29:D29"/>
    <mergeCell ref="B30:D30"/>
    <mergeCell ref="A45:C45"/>
  </mergeCells>
  <hyperlinks>
    <hyperlink ref="F21:G21" location="SYSTEMY!A1" display="MENU GŁÓWNE" xr:uid="{00000000-0004-0000-0500-000000000000}"/>
    <hyperlink ref="B12:E12" location="'4'!A1" display="ALFA FR MASTIC" xr:uid="{00000000-0004-0000-0500-000001000000}"/>
    <hyperlink ref="B14:E14" location="'4'!A127" display="ALFA FIREFOAM PREMIUM" xr:uid="{00000000-0004-0000-0500-000002000000}"/>
    <hyperlink ref="B13:E13" location="'4'!A95" display="ALFA COAT A + ALFA COAT I" xr:uid="{00000000-0004-0000-0500-000004000000}"/>
    <hyperlink ref="A45:C45" location="'4'!A1" display="POWRÓT DO WYBORU SYSTEMU" xr:uid="{00000000-0004-0000-0500-000005000000}"/>
    <hyperlink ref="A70:C70" location="'4'!A1" display="POWRÓT DO WYBORU SYSTEMU" xr:uid="{00000000-0004-0000-0500-000006000000}"/>
    <hyperlink ref="A100:C100" location="'4'!A1" display="POWRÓT DO WYBORU SYSTEMU" xr:uid="{00000000-0004-0000-0500-000007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fitToHeight="0" orientation="landscape" r:id="rId1"/>
  <headerFooter>
    <oddFooter>&amp;A</oddFooter>
  </headerFooter>
  <rowBreaks count="1" manualBreakCount="1">
    <brk id="72" max="1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4">
    <tabColor theme="1" tint="0.34998626667073579"/>
  </sheetPr>
  <dimension ref="A1:Q129"/>
  <sheetViews>
    <sheetView showGridLines="0" zoomScale="80" zoomScaleNormal="80" zoomScaleSheetLayoutView="85" workbookViewId="0">
      <selection activeCell="A2" sqref="A2"/>
    </sheetView>
  </sheetViews>
  <sheetFormatPr defaultColWidth="0" defaultRowHeight="14.1" customHeight="1" x14ac:dyDescent="0.2"/>
  <cols>
    <col min="1" max="1" width="9.140625" style="25" customWidth="1"/>
    <col min="2" max="2" width="11.5703125" style="25" customWidth="1"/>
    <col min="3" max="3" width="13" style="25" customWidth="1"/>
    <col min="4" max="4" width="13.140625" style="25" bestFit="1" customWidth="1"/>
    <col min="5" max="5" width="14" style="25" customWidth="1"/>
    <col min="6" max="6" width="14.42578125" style="25" customWidth="1"/>
    <col min="7" max="7" width="11" style="25" customWidth="1"/>
    <col min="8" max="8" width="12.28515625" style="25" customWidth="1"/>
    <col min="9" max="11" width="11" style="25" customWidth="1"/>
    <col min="12" max="12" width="12" style="25" customWidth="1"/>
    <col min="13" max="13" width="16.42578125" style="25" bestFit="1" customWidth="1"/>
    <col min="14" max="14" width="11" style="25" customWidth="1"/>
    <col min="15" max="15" width="15.28515625" style="25" customWidth="1"/>
    <col min="16" max="16" width="11.7109375" style="25" customWidth="1"/>
    <col min="17" max="17" width="9.140625" style="25" customWidth="1"/>
    <col min="18" max="16384" width="9.140625" style="25" hidden="1"/>
  </cols>
  <sheetData>
    <row r="1" spans="1:13" ht="14.1" customHeight="1" x14ac:dyDescent="0.2">
      <c r="A1" s="21"/>
      <c r="B1" s="22"/>
      <c r="C1" s="23"/>
      <c r="D1" s="23"/>
      <c r="E1" s="23"/>
      <c r="F1" s="23"/>
      <c r="G1" s="22"/>
      <c r="H1" s="22"/>
      <c r="I1" s="23"/>
      <c r="J1" s="24"/>
      <c r="K1" s="21"/>
    </row>
    <row r="2" spans="1:13" ht="14.1" customHeight="1" x14ac:dyDescent="0.2">
      <c r="A2" s="21"/>
      <c r="B2" s="22"/>
      <c r="C2" s="23"/>
      <c r="D2" s="23"/>
      <c r="E2" s="23"/>
      <c r="F2" s="23"/>
      <c r="G2" s="22"/>
      <c r="H2" s="22"/>
      <c r="I2" s="23"/>
      <c r="J2" s="24"/>
      <c r="K2" s="21"/>
    </row>
    <row r="3" spans="1:13" ht="14.1" customHeight="1" x14ac:dyDescent="0.2">
      <c r="A3" s="136"/>
      <c r="B3" s="22"/>
      <c r="C3" s="135"/>
      <c r="D3" s="135"/>
      <c r="E3" s="135"/>
      <c r="F3" s="135"/>
      <c r="G3" s="22"/>
      <c r="H3" s="22"/>
      <c r="I3" s="135"/>
      <c r="J3" s="24"/>
      <c r="K3" s="136"/>
    </row>
    <row r="4" spans="1:13" ht="14.1" customHeight="1" x14ac:dyDescent="0.2">
      <c r="A4" s="21"/>
      <c r="B4" s="22"/>
      <c r="C4" s="23"/>
      <c r="D4" s="23"/>
      <c r="E4" s="23"/>
      <c r="F4" s="23"/>
      <c r="G4" s="22"/>
      <c r="H4" s="22"/>
      <c r="I4" s="23"/>
      <c r="J4" s="24"/>
      <c r="K4" s="21"/>
    </row>
    <row r="5" spans="1:13" ht="14.1" customHeight="1" x14ac:dyDescent="0.2">
      <c r="A5" s="21"/>
      <c r="B5" s="22"/>
      <c r="C5" s="23"/>
      <c r="D5" s="23"/>
      <c r="E5" s="23"/>
      <c r="F5" s="23"/>
      <c r="G5" s="22"/>
      <c r="H5" s="22"/>
      <c r="I5" s="23"/>
      <c r="J5" s="24"/>
      <c r="K5" s="21"/>
    </row>
    <row r="6" spans="1:13" ht="14.1" customHeight="1" x14ac:dyDescent="0.2">
      <c r="A6" s="21"/>
      <c r="B6" s="22"/>
      <c r="C6" s="23"/>
      <c r="D6" s="23"/>
      <c r="E6" s="23"/>
      <c r="F6" s="23"/>
      <c r="G6" s="22"/>
      <c r="H6" s="22"/>
      <c r="I6" s="23"/>
      <c r="J6" s="24"/>
      <c r="K6" s="21"/>
    </row>
    <row r="7" spans="1:13" ht="14.1" customHeight="1" x14ac:dyDescent="0.2">
      <c r="A7" s="21"/>
      <c r="B7" s="22"/>
      <c r="C7" s="23"/>
      <c r="D7" s="23"/>
      <c r="E7" s="23"/>
      <c r="F7" s="23"/>
      <c r="G7" s="22"/>
      <c r="H7" s="22"/>
      <c r="I7" s="23"/>
      <c r="J7" s="24"/>
      <c r="K7" s="21"/>
    </row>
    <row r="8" spans="1:13" s="76" customFormat="1" ht="17.25" customHeight="1" x14ac:dyDescent="0.25">
      <c r="A8" s="23"/>
      <c r="B8" s="22"/>
      <c r="C8" s="23"/>
      <c r="D8" s="23"/>
      <c r="E8" s="23"/>
      <c r="F8" s="23"/>
      <c r="G8" s="22"/>
      <c r="H8" s="22"/>
      <c r="I8" s="23"/>
      <c r="J8" s="22"/>
      <c r="K8" s="23"/>
    </row>
    <row r="9" spans="1:13" s="76" customFormat="1" ht="17.25" customHeight="1" x14ac:dyDescent="0.25">
      <c r="A9" s="23"/>
      <c r="B9" s="22"/>
      <c r="C9" s="23"/>
      <c r="D9" s="23"/>
      <c r="E9" s="23"/>
      <c r="F9" s="23"/>
      <c r="G9" s="22"/>
      <c r="H9" s="22"/>
      <c r="I9" s="23"/>
      <c r="J9" s="22"/>
      <c r="K9" s="23"/>
    </row>
    <row r="10" spans="1:13" s="76" customFormat="1" ht="17.25" customHeight="1" x14ac:dyDescent="0.25">
      <c r="A10" s="23"/>
      <c r="B10" s="22"/>
      <c r="C10" s="23"/>
      <c r="D10" s="23"/>
      <c r="E10" s="23"/>
      <c r="F10" s="23"/>
      <c r="G10" s="22"/>
      <c r="H10" s="22"/>
      <c r="I10" s="23"/>
      <c r="J10" s="22"/>
      <c r="K10" s="23"/>
    </row>
    <row r="11" spans="1:13" s="76" customFormat="1" ht="18.75" customHeight="1" x14ac:dyDescent="0.25">
      <c r="A11" s="23"/>
      <c r="B11" s="307" t="s">
        <v>72</v>
      </c>
      <c r="C11" s="307"/>
      <c r="D11" s="307"/>
      <c r="E11" s="307"/>
      <c r="K11" s="23"/>
      <c r="L11" s="145" t="s">
        <v>74</v>
      </c>
      <c r="M11" s="145" t="s">
        <v>75</v>
      </c>
    </row>
    <row r="12" spans="1:13" s="76" customFormat="1" ht="18.75" customHeight="1" x14ac:dyDescent="0.25">
      <c r="A12" s="92"/>
      <c r="B12" s="308" t="s">
        <v>37</v>
      </c>
      <c r="C12" s="308"/>
      <c r="D12" s="308"/>
      <c r="E12" s="308"/>
      <c r="I12" s="313" t="s">
        <v>224</v>
      </c>
      <c r="J12" s="314"/>
      <c r="K12" s="315"/>
      <c r="L12" s="93">
        <f>N46</f>
        <v>0</v>
      </c>
      <c r="M12" s="319">
        <f>N45</f>
        <v>0</v>
      </c>
    </row>
    <row r="13" spans="1:13" s="76" customFormat="1" ht="18.75" customHeight="1" x14ac:dyDescent="0.25">
      <c r="A13" s="92"/>
      <c r="B13" s="308" t="s">
        <v>58</v>
      </c>
      <c r="C13" s="308"/>
      <c r="D13" s="308"/>
      <c r="E13" s="308"/>
      <c r="I13" s="316"/>
      <c r="J13" s="317"/>
      <c r="K13" s="318"/>
      <c r="L13" s="93">
        <f>N47</f>
        <v>0</v>
      </c>
      <c r="M13" s="320"/>
    </row>
    <row r="14" spans="1:13" s="76" customFormat="1" ht="18.75" customHeight="1" x14ac:dyDescent="0.25">
      <c r="A14" s="92"/>
      <c r="B14" s="308" t="s">
        <v>33</v>
      </c>
      <c r="C14" s="308"/>
      <c r="D14" s="308"/>
      <c r="E14" s="308"/>
      <c r="I14" s="313" t="s">
        <v>225</v>
      </c>
      <c r="J14" s="314"/>
      <c r="K14" s="315"/>
      <c r="L14" s="93">
        <f>N74+N91</f>
        <v>0</v>
      </c>
      <c r="M14" s="319">
        <f>N73+N90</f>
        <v>0</v>
      </c>
    </row>
    <row r="15" spans="1:13" s="76" customFormat="1" ht="18.75" customHeight="1" x14ac:dyDescent="0.25">
      <c r="A15" s="92"/>
      <c r="B15" s="321"/>
      <c r="C15" s="321"/>
      <c r="D15" s="321"/>
      <c r="E15" s="321"/>
      <c r="I15" s="316"/>
      <c r="J15" s="317"/>
      <c r="K15" s="318"/>
      <c r="L15" s="93">
        <f>N75+N92</f>
        <v>0</v>
      </c>
      <c r="M15" s="320"/>
    </row>
    <row r="16" spans="1:13" s="76" customFormat="1" ht="18.75" customHeight="1" x14ac:dyDescent="0.25">
      <c r="A16" s="92"/>
      <c r="B16" s="310"/>
      <c r="C16" s="310"/>
      <c r="D16" s="310"/>
      <c r="E16" s="310"/>
      <c r="I16" s="313" t="s">
        <v>226</v>
      </c>
      <c r="J16" s="314"/>
      <c r="K16" s="315"/>
      <c r="L16" s="94">
        <f>M112+P123</f>
        <v>0</v>
      </c>
      <c r="M16" s="319">
        <f>M111+P122</f>
        <v>0</v>
      </c>
    </row>
    <row r="17" spans="1:17" s="76" customFormat="1" ht="18.75" customHeight="1" x14ac:dyDescent="0.25">
      <c r="A17" s="92"/>
      <c r="B17" s="310"/>
      <c r="C17" s="310"/>
      <c r="D17" s="310"/>
      <c r="E17" s="310"/>
      <c r="I17" s="316"/>
      <c r="J17" s="317"/>
      <c r="K17" s="318"/>
      <c r="L17" s="94">
        <f>P124</f>
        <v>0</v>
      </c>
      <c r="M17" s="320"/>
    </row>
    <row r="18" spans="1:17" s="76" customFormat="1" ht="18.75" customHeight="1" x14ac:dyDescent="0.25">
      <c r="A18" s="92"/>
      <c r="B18" s="129"/>
      <c r="C18" s="129"/>
      <c r="D18" s="129"/>
      <c r="E18" s="129"/>
      <c r="L18" s="146" t="s">
        <v>86</v>
      </c>
      <c r="M18" s="183">
        <f>SUM(M14:M17)</f>
        <v>0</v>
      </c>
    </row>
    <row r="19" spans="1:17" s="76" customFormat="1" ht="18.75" customHeight="1" x14ac:dyDescent="0.25">
      <c r="A19" s="92"/>
      <c r="B19" s="129"/>
      <c r="C19" s="129"/>
      <c r="D19" s="129"/>
      <c r="E19" s="129"/>
    </row>
    <row r="20" spans="1:17" s="76" customFormat="1" ht="18.75" customHeight="1" x14ac:dyDescent="0.25">
      <c r="A20" s="92"/>
      <c r="B20" s="310"/>
      <c r="C20" s="310"/>
      <c r="D20" s="310"/>
      <c r="E20" s="310"/>
      <c r="H20" s="309" t="s">
        <v>73</v>
      </c>
      <c r="I20" s="309"/>
    </row>
    <row r="21" spans="1:17" s="76" customFormat="1" ht="18.75" customHeight="1" x14ac:dyDescent="0.25">
      <c r="A21" s="92"/>
      <c r="B21" s="310"/>
      <c r="C21" s="310"/>
      <c r="D21" s="310"/>
      <c r="E21" s="310"/>
    </row>
    <row r="22" spans="1:17" ht="30" customHeight="1" x14ac:dyDescent="0.2">
      <c r="A22" s="224" t="s">
        <v>37</v>
      </c>
      <c r="B22" s="224"/>
      <c r="C22" s="224"/>
      <c r="D22" s="224"/>
      <c r="E22" s="224"/>
      <c r="F22" s="224"/>
      <c r="G22" s="224"/>
      <c r="H22" s="224"/>
      <c r="I22" s="224"/>
      <c r="J22" s="224"/>
      <c r="K22" s="224"/>
      <c r="L22" s="224"/>
      <c r="M22" s="224"/>
      <c r="N22" s="224"/>
      <c r="O22" s="224"/>
      <c r="P22" s="224"/>
      <c r="Q22" s="224"/>
    </row>
    <row r="25" spans="1:17" ht="14.1" customHeight="1" x14ac:dyDescent="0.2">
      <c r="J25" s="25" t="s">
        <v>232</v>
      </c>
    </row>
    <row r="26" spans="1:17" ht="14.1" customHeight="1" x14ac:dyDescent="0.2">
      <c r="J26" s="25" t="s">
        <v>164</v>
      </c>
    </row>
    <row r="27" spans="1:17" ht="14.1" customHeight="1" x14ac:dyDescent="0.2">
      <c r="J27" s="25" t="s">
        <v>162</v>
      </c>
    </row>
    <row r="28" spans="1:17" ht="14.1" customHeight="1" x14ac:dyDescent="0.2">
      <c r="J28" s="25" t="s">
        <v>91</v>
      </c>
    </row>
    <row r="29" spans="1:17" ht="14.1" customHeight="1" x14ac:dyDescent="0.2">
      <c r="J29" s="25" t="s">
        <v>92</v>
      </c>
    </row>
    <row r="31" spans="1:17" ht="20.100000000000001" customHeight="1" x14ac:dyDescent="0.2"/>
    <row r="32" spans="1:17" ht="33" customHeight="1" x14ac:dyDescent="0.2">
      <c r="C32" s="311" t="s">
        <v>233</v>
      </c>
      <c r="D32" s="311"/>
      <c r="E32" s="311"/>
      <c r="F32" s="311"/>
      <c r="G32" s="311"/>
      <c r="H32" s="311"/>
      <c r="I32" s="311"/>
      <c r="J32" s="311"/>
      <c r="K32" s="311"/>
      <c r="L32" s="311"/>
      <c r="M32" s="311"/>
      <c r="N32" s="311"/>
    </row>
    <row r="33" spans="1:14" ht="30" customHeight="1" x14ac:dyDescent="0.2">
      <c r="C33" s="291" t="s">
        <v>227</v>
      </c>
      <c r="D33" s="291" t="s">
        <v>228</v>
      </c>
      <c r="E33" s="260" t="s">
        <v>37</v>
      </c>
      <c r="F33" s="261"/>
      <c r="G33" s="261"/>
      <c r="H33" s="262"/>
      <c r="I33" s="260" t="s">
        <v>230</v>
      </c>
      <c r="J33" s="261"/>
      <c r="K33" s="261"/>
      <c r="L33" s="262"/>
      <c r="M33" s="228" t="s">
        <v>107</v>
      </c>
      <c r="N33" s="228" t="s">
        <v>108</v>
      </c>
    </row>
    <row r="34" spans="1:14" ht="14.1" customHeight="1" x14ac:dyDescent="0.2">
      <c r="C34" s="292"/>
      <c r="D34" s="292"/>
      <c r="E34" s="147" t="s">
        <v>0</v>
      </c>
      <c r="F34" s="147" t="s">
        <v>1</v>
      </c>
      <c r="G34" s="147" t="s">
        <v>2</v>
      </c>
      <c r="H34" s="147" t="s">
        <v>3</v>
      </c>
      <c r="I34" s="147" t="s">
        <v>14</v>
      </c>
      <c r="J34" s="147" t="s">
        <v>15</v>
      </c>
      <c r="K34" s="147" t="s">
        <v>2</v>
      </c>
      <c r="L34" s="147" t="s">
        <v>3</v>
      </c>
      <c r="M34" s="228"/>
      <c r="N34" s="228"/>
    </row>
    <row r="35" spans="1:14" ht="14.1" customHeight="1" x14ac:dyDescent="0.2">
      <c r="C35" s="8"/>
      <c r="D35" s="130" t="s">
        <v>38</v>
      </c>
      <c r="E35" s="41">
        <v>1</v>
      </c>
      <c r="F35" s="182">
        <v>4</v>
      </c>
      <c r="G35" s="6">
        <v>0</v>
      </c>
      <c r="H35" s="174">
        <f>F35*(1-G35)*E35</f>
        <v>4</v>
      </c>
      <c r="I35" s="95">
        <f>0.01*1*3</f>
        <v>0.03</v>
      </c>
      <c r="J35" s="203">
        <v>0</v>
      </c>
      <c r="K35" s="6">
        <v>0</v>
      </c>
      <c r="L35" s="174">
        <f>J35*(1-K35)*I35</f>
        <v>0</v>
      </c>
      <c r="M35" s="174">
        <f>L35+H35</f>
        <v>4</v>
      </c>
      <c r="N35" s="174">
        <f>M35*C35</f>
        <v>0</v>
      </c>
    </row>
    <row r="36" spans="1:14" ht="14.1" customHeight="1" x14ac:dyDescent="0.2">
      <c r="C36" s="8"/>
      <c r="D36" s="130" t="s">
        <v>39</v>
      </c>
      <c r="E36" s="41">
        <v>1</v>
      </c>
      <c r="F36" s="182">
        <v>7.2</v>
      </c>
      <c r="G36" s="40">
        <f>$G$35</f>
        <v>0</v>
      </c>
      <c r="H36" s="174">
        <f t="shared" ref="H36:H38" si="0">F36*(1-G36)*E36</f>
        <v>7.2</v>
      </c>
      <c r="I36" s="95">
        <f>0.02*1*3</f>
        <v>0.06</v>
      </c>
      <c r="J36" s="202">
        <f>$J$35</f>
        <v>0</v>
      </c>
      <c r="K36" s="40">
        <f>$K$35</f>
        <v>0</v>
      </c>
      <c r="L36" s="174">
        <f t="shared" ref="L36:L44" si="1">J36*(1-K36)*I36</f>
        <v>0</v>
      </c>
      <c r="M36" s="174">
        <f t="shared" ref="M36:M44" si="2">L36+H36</f>
        <v>7.2</v>
      </c>
      <c r="N36" s="174">
        <f t="shared" ref="N36:N44" si="3">M36*C36</f>
        <v>0</v>
      </c>
    </row>
    <row r="37" spans="1:14" ht="14.1" customHeight="1" x14ac:dyDescent="0.2">
      <c r="C37" s="8"/>
      <c r="D37" s="130" t="s">
        <v>40</v>
      </c>
      <c r="E37" s="41">
        <v>1</v>
      </c>
      <c r="F37" s="182">
        <v>8.6</v>
      </c>
      <c r="G37" s="40">
        <f t="shared" ref="G37:G44" si="4">$G$35</f>
        <v>0</v>
      </c>
      <c r="H37" s="174">
        <f t="shared" si="0"/>
        <v>8.6</v>
      </c>
      <c r="I37" s="95">
        <f>0.03*1*3</f>
        <v>0.09</v>
      </c>
      <c r="J37" s="202">
        <f t="shared" ref="J37:J44" si="5">$J$35</f>
        <v>0</v>
      </c>
      <c r="K37" s="40">
        <f t="shared" ref="K37:K44" si="6">$K$35</f>
        <v>0</v>
      </c>
      <c r="L37" s="174">
        <f t="shared" si="1"/>
        <v>0</v>
      </c>
      <c r="M37" s="174">
        <f t="shared" si="2"/>
        <v>8.6</v>
      </c>
      <c r="N37" s="174">
        <f t="shared" si="3"/>
        <v>0</v>
      </c>
    </row>
    <row r="38" spans="1:14" ht="14.1" customHeight="1" x14ac:dyDescent="0.2">
      <c r="C38" s="8"/>
      <c r="D38" s="130" t="s">
        <v>41</v>
      </c>
      <c r="E38" s="41">
        <v>1</v>
      </c>
      <c r="F38" s="182">
        <v>12</v>
      </c>
      <c r="G38" s="40">
        <f t="shared" si="4"/>
        <v>0</v>
      </c>
      <c r="H38" s="174">
        <f t="shared" si="0"/>
        <v>12</v>
      </c>
      <c r="I38" s="95">
        <f>0.04*1*3</f>
        <v>0.12</v>
      </c>
      <c r="J38" s="202">
        <f t="shared" si="5"/>
        <v>0</v>
      </c>
      <c r="K38" s="40">
        <f t="shared" si="6"/>
        <v>0</v>
      </c>
      <c r="L38" s="174">
        <f t="shared" si="1"/>
        <v>0</v>
      </c>
      <c r="M38" s="174">
        <f t="shared" si="2"/>
        <v>12</v>
      </c>
      <c r="N38" s="174">
        <f t="shared" si="3"/>
        <v>0</v>
      </c>
    </row>
    <row r="39" spans="1:14" ht="14.1" customHeight="1" x14ac:dyDescent="0.2">
      <c r="C39" s="8"/>
      <c r="D39" s="134" t="s">
        <v>42</v>
      </c>
      <c r="E39" s="41">
        <v>1</v>
      </c>
      <c r="F39" s="182">
        <v>14</v>
      </c>
      <c r="G39" s="40">
        <f t="shared" si="4"/>
        <v>0</v>
      </c>
      <c r="H39" s="174">
        <f t="shared" ref="H39" si="7">F39*(1-G39)*E39</f>
        <v>14</v>
      </c>
      <c r="I39" s="95">
        <f>0.05*1*3</f>
        <v>0.15000000000000002</v>
      </c>
      <c r="J39" s="202">
        <f t="shared" si="5"/>
        <v>0</v>
      </c>
      <c r="K39" s="40">
        <f t="shared" si="6"/>
        <v>0</v>
      </c>
      <c r="L39" s="174">
        <f t="shared" ref="L39" si="8">J39*(1-K39)*I39</f>
        <v>0</v>
      </c>
      <c r="M39" s="174">
        <f t="shared" ref="M39" si="9">L39+H39</f>
        <v>14</v>
      </c>
      <c r="N39" s="174">
        <f t="shared" ref="N39" si="10">M39*C39</f>
        <v>0</v>
      </c>
    </row>
    <row r="40" spans="1:14" ht="14.1" customHeight="1" x14ac:dyDescent="0.2">
      <c r="C40" s="8"/>
      <c r="D40" s="134" t="s">
        <v>43</v>
      </c>
      <c r="E40" s="41">
        <v>1</v>
      </c>
      <c r="F40" s="182">
        <v>16</v>
      </c>
      <c r="G40" s="40">
        <f t="shared" si="4"/>
        <v>0</v>
      </c>
      <c r="H40" s="174">
        <v>70</v>
      </c>
      <c r="I40" s="95">
        <f>0.06*1*3</f>
        <v>0.18</v>
      </c>
      <c r="J40" s="202">
        <f t="shared" si="5"/>
        <v>0</v>
      </c>
      <c r="K40" s="40">
        <f t="shared" si="6"/>
        <v>0</v>
      </c>
      <c r="L40" s="174">
        <f t="shared" si="1"/>
        <v>0</v>
      </c>
      <c r="M40" s="174">
        <f t="shared" si="2"/>
        <v>70</v>
      </c>
      <c r="N40" s="174">
        <f t="shared" si="3"/>
        <v>0</v>
      </c>
    </row>
    <row r="41" spans="1:14" ht="14.1" customHeight="1" x14ac:dyDescent="0.2">
      <c r="C41" s="8"/>
      <c r="D41" s="134" t="s">
        <v>44</v>
      </c>
      <c r="E41" s="41">
        <v>1</v>
      </c>
      <c r="F41" s="182">
        <v>18</v>
      </c>
      <c r="G41" s="40">
        <f t="shared" si="4"/>
        <v>0</v>
      </c>
      <c r="H41" s="174">
        <v>75</v>
      </c>
      <c r="I41" s="95">
        <f>0.07*1*3</f>
        <v>0.21000000000000002</v>
      </c>
      <c r="J41" s="202">
        <f t="shared" si="5"/>
        <v>0</v>
      </c>
      <c r="K41" s="40">
        <f t="shared" si="6"/>
        <v>0</v>
      </c>
      <c r="L41" s="174">
        <f t="shared" ref="L41" si="11">J41*(1-K41)*I41</f>
        <v>0</v>
      </c>
      <c r="M41" s="174">
        <f t="shared" ref="M41" si="12">L41+H41</f>
        <v>75</v>
      </c>
      <c r="N41" s="174">
        <f t="shared" ref="N41" si="13">M41*C41</f>
        <v>0</v>
      </c>
    </row>
    <row r="42" spans="1:14" ht="14.1" customHeight="1" x14ac:dyDescent="0.2">
      <c r="C42" s="8"/>
      <c r="D42" s="134" t="s">
        <v>47</v>
      </c>
      <c r="E42" s="41">
        <v>1</v>
      </c>
      <c r="F42" s="182">
        <v>19</v>
      </c>
      <c r="G42" s="40">
        <f t="shared" si="4"/>
        <v>0</v>
      </c>
      <c r="H42" s="174">
        <v>82</v>
      </c>
      <c r="I42" s="95">
        <f>0.08*1*3</f>
        <v>0.24</v>
      </c>
      <c r="J42" s="202">
        <f t="shared" si="5"/>
        <v>0</v>
      </c>
      <c r="K42" s="40">
        <f t="shared" si="6"/>
        <v>0</v>
      </c>
      <c r="L42" s="174">
        <f t="shared" si="1"/>
        <v>0</v>
      </c>
      <c r="M42" s="174">
        <f t="shared" si="2"/>
        <v>82</v>
      </c>
      <c r="N42" s="174">
        <f t="shared" si="3"/>
        <v>0</v>
      </c>
    </row>
    <row r="43" spans="1:14" ht="14.1" customHeight="1" x14ac:dyDescent="0.2">
      <c r="C43" s="8"/>
      <c r="D43" s="134" t="s">
        <v>45</v>
      </c>
      <c r="E43" s="41">
        <v>1</v>
      </c>
      <c r="F43" s="182">
        <v>19.5</v>
      </c>
      <c r="G43" s="40">
        <f t="shared" si="4"/>
        <v>0</v>
      </c>
      <c r="H43" s="174">
        <v>88</v>
      </c>
      <c r="I43" s="95">
        <f>0.09*1*3</f>
        <v>0.27</v>
      </c>
      <c r="J43" s="202">
        <f t="shared" si="5"/>
        <v>0</v>
      </c>
      <c r="K43" s="40">
        <f t="shared" si="6"/>
        <v>0</v>
      </c>
      <c r="L43" s="174">
        <f t="shared" ref="L43" si="14">J43*(1-K43)*I43</f>
        <v>0</v>
      </c>
      <c r="M43" s="174">
        <f t="shared" ref="M43" si="15">L43+H43</f>
        <v>88</v>
      </c>
      <c r="N43" s="174">
        <f t="shared" ref="N43" si="16">M43*C43</f>
        <v>0</v>
      </c>
    </row>
    <row r="44" spans="1:14" ht="14.1" customHeight="1" x14ac:dyDescent="0.2">
      <c r="C44" s="8"/>
      <c r="D44" s="130" t="s">
        <v>46</v>
      </c>
      <c r="E44" s="41">
        <v>1</v>
      </c>
      <c r="F44" s="182">
        <v>21</v>
      </c>
      <c r="G44" s="40">
        <f t="shared" si="4"/>
        <v>0</v>
      </c>
      <c r="H44" s="174">
        <v>95</v>
      </c>
      <c r="I44" s="95">
        <f>0.1*1*3</f>
        <v>0.30000000000000004</v>
      </c>
      <c r="J44" s="202">
        <f t="shared" si="5"/>
        <v>0</v>
      </c>
      <c r="K44" s="40">
        <f t="shared" si="6"/>
        <v>0</v>
      </c>
      <c r="L44" s="174">
        <f t="shared" si="1"/>
        <v>0</v>
      </c>
      <c r="M44" s="174">
        <f t="shared" si="2"/>
        <v>95</v>
      </c>
      <c r="N44" s="174">
        <f t="shared" si="3"/>
        <v>0</v>
      </c>
    </row>
    <row r="45" spans="1:14" ht="14.1" customHeight="1" x14ac:dyDescent="0.2">
      <c r="K45" s="263" t="s">
        <v>86</v>
      </c>
      <c r="L45" s="264"/>
      <c r="M45" s="265"/>
      <c r="N45" s="167">
        <f>SUM(N35:N44)</f>
        <v>0</v>
      </c>
    </row>
    <row r="46" spans="1:14" ht="14.1" customHeight="1" x14ac:dyDescent="0.2">
      <c r="K46" s="263" t="s">
        <v>229</v>
      </c>
      <c r="L46" s="264"/>
      <c r="M46" s="265"/>
      <c r="N46" s="148">
        <f>SUMPRODUCT(C35:C44,E35:E44)</f>
        <v>0</v>
      </c>
    </row>
    <row r="47" spans="1:14" ht="14.1" customHeight="1" x14ac:dyDescent="0.2">
      <c r="A47" s="278" t="s">
        <v>81</v>
      </c>
      <c r="B47" s="278"/>
      <c r="C47" s="278"/>
      <c r="K47" s="263" t="s">
        <v>231</v>
      </c>
      <c r="L47" s="264"/>
      <c r="M47" s="265"/>
      <c r="N47" s="148">
        <f>SUMPRODUCT(C35:C44,I35:I44)</f>
        <v>0</v>
      </c>
    </row>
    <row r="50" spans="1:17" ht="30" customHeight="1" x14ac:dyDescent="0.2">
      <c r="A50" s="224" t="s">
        <v>58</v>
      </c>
      <c r="B50" s="224"/>
      <c r="C50" s="224"/>
      <c r="D50" s="224"/>
      <c r="E50" s="224"/>
      <c r="F50" s="224"/>
      <c r="G50" s="224"/>
      <c r="H50" s="224"/>
      <c r="I50" s="224"/>
      <c r="J50" s="224"/>
      <c r="K50" s="224"/>
      <c r="L50" s="224"/>
      <c r="M50" s="224"/>
      <c r="N50" s="224"/>
      <c r="O50" s="224"/>
      <c r="P50" s="224"/>
      <c r="Q50" s="224"/>
    </row>
    <row r="53" spans="1:17" ht="14.1" customHeight="1" x14ac:dyDescent="0.2">
      <c r="J53" s="25" t="s">
        <v>234</v>
      </c>
    </row>
    <row r="54" spans="1:17" ht="14.1" customHeight="1" x14ac:dyDescent="0.2">
      <c r="J54" s="25" t="s">
        <v>164</v>
      </c>
    </row>
    <row r="55" spans="1:17" ht="14.1" customHeight="1" x14ac:dyDescent="0.2">
      <c r="J55" s="25" t="s">
        <v>162</v>
      </c>
    </row>
    <row r="56" spans="1:17" ht="14.1" customHeight="1" x14ac:dyDescent="0.2">
      <c r="J56" s="25" t="s">
        <v>91</v>
      </c>
    </row>
    <row r="57" spans="1:17" ht="14.1" customHeight="1" x14ac:dyDescent="0.2">
      <c r="J57" s="25" t="s">
        <v>92</v>
      </c>
    </row>
    <row r="59" spans="1:17" ht="20.100000000000001" customHeight="1" x14ac:dyDescent="0.2"/>
    <row r="60" spans="1:17" ht="33" customHeight="1" x14ac:dyDescent="0.2">
      <c r="C60" s="311" t="s">
        <v>235</v>
      </c>
      <c r="D60" s="311"/>
      <c r="E60" s="311"/>
      <c r="F60" s="311"/>
      <c r="G60" s="311"/>
      <c r="H60" s="311"/>
      <c r="I60" s="311"/>
      <c r="J60" s="311"/>
      <c r="K60" s="311"/>
      <c r="L60" s="311"/>
      <c r="M60" s="311"/>
      <c r="N60" s="311"/>
    </row>
    <row r="61" spans="1:17" ht="30" customHeight="1" x14ac:dyDescent="0.2">
      <c r="C61" s="291" t="s">
        <v>227</v>
      </c>
      <c r="D61" s="291" t="s">
        <v>228</v>
      </c>
      <c r="E61" s="260" t="s">
        <v>167</v>
      </c>
      <c r="F61" s="261"/>
      <c r="G61" s="261"/>
      <c r="H61" s="262"/>
      <c r="I61" s="260" t="s">
        <v>237</v>
      </c>
      <c r="J61" s="261"/>
      <c r="K61" s="261"/>
      <c r="L61" s="262"/>
      <c r="M61" s="228" t="s">
        <v>107</v>
      </c>
      <c r="N61" s="228" t="s">
        <v>108</v>
      </c>
    </row>
    <row r="62" spans="1:17" ht="14.1" customHeight="1" x14ac:dyDescent="0.2">
      <c r="C62" s="292"/>
      <c r="D62" s="292"/>
      <c r="E62" s="147" t="s">
        <v>0</v>
      </c>
      <c r="F62" s="147" t="s">
        <v>1</v>
      </c>
      <c r="G62" s="147" t="s">
        <v>2</v>
      </c>
      <c r="H62" s="147" t="s">
        <v>3</v>
      </c>
      <c r="I62" s="147" t="s">
        <v>14</v>
      </c>
      <c r="J62" s="147" t="s">
        <v>15</v>
      </c>
      <c r="K62" s="147" t="s">
        <v>2</v>
      </c>
      <c r="L62" s="147" t="s">
        <v>3</v>
      </c>
      <c r="M62" s="228"/>
      <c r="N62" s="228"/>
    </row>
    <row r="63" spans="1:17" ht="14.1" customHeight="1" x14ac:dyDescent="0.2">
      <c r="C63" s="8">
        <v>0</v>
      </c>
      <c r="D63" s="191" t="s">
        <v>38</v>
      </c>
      <c r="E63" s="86">
        <v>3.0000000000000001E-3</v>
      </c>
      <c r="F63" s="182">
        <v>64</v>
      </c>
      <c r="G63" s="9">
        <v>0</v>
      </c>
      <c r="H63" s="166">
        <f>F63*(1-G63)*E63</f>
        <v>0.192</v>
      </c>
      <c r="I63" s="204">
        <v>0.02</v>
      </c>
      <c r="J63" s="207">
        <v>0</v>
      </c>
      <c r="K63" s="9">
        <v>0</v>
      </c>
      <c r="L63" s="166">
        <f>J63*(1-K63)*I63</f>
        <v>0</v>
      </c>
      <c r="M63" s="166">
        <f>L63+H63</f>
        <v>0.192</v>
      </c>
      <c r="N63" s="166">
        <f>M63*C63</f>
        <v>0</v>
      </c>
    </row>
    <row r="64" spans="1:17" ht="14.1" customHeight="1" x14ac:dyDescent="0.2">
      <c r="C64" s="8">
        <v>0</v>
      </c>
      <c r="D64" s="191" t="s">
        <v>39</v>
      </c>
      <c r="E64" s="86">
        <v>5.0000000000000001E-3</v>
      </c>
      <c r="F64" s="182">
        <v>64</v>
      </c>
      <c r="G64" s="38">
        <f t="shared" ref="G64:G72" si="17">$G$63</f>
        <v>0</v>
      </c>
      <c r="H64" s="166">
        <f t="shared" ref="H64:H72" si="18">F64*(1-G64)*E64</f>
        <v>0.32</v>
      </c>
      <c r="I64" s="87">
        <v>0.04</v>
      </c>
      <c r="J64" s="205">
        <f>$J$63</f>
        <v>0</v>
      </c>
      <c r="K64" s="38">
        <f t="shared" ref="K64:K72" si="19">$K$63</f>
        <v>0</v>
      </c>
      <c r="L64" s="166">
        <f t="shared" ref="L64:L72" si="20">J64*(1-K64)*I64</f>
        <v>0</v>
      </c>
      <c r="M64" s="166">
        <f t="shared" ref="M64:M72" si="21">L64+H64</f>
        <v>0.32</v>
      </c>
      <c r="N64" s="166">
        <f t="shared" ref="N64:N72" si="22">M64*C64</f>
        <v>0</v>
      </c>
    </row>
    <row r="65" spans="3:14" ht="14.1" customHeight="1" x14ac:dyDescent="0.2">
      <c r="C65" s="8">
        <v>0</v>
      </c>
      <c r="D65" s="191" t="s">
        <v>40</v>
      </c>
      <c r="E65" s="86">
        <v>8.0000000000000002E-3</v>
      </c>
      <c r="F65" s="182">
        <v>64</v>
      </c>
      <c r="G65" s="38">
        <f t="shared" si="17"/>
        <v>0</v>
      </c>
      <c r="H65" s="166">
        <f t="shared" ref="H65" si="23">F65*(1-G65)*E65</f>
        <v>0.51200000000000001</v>
      </c>
      <c r="I65" s="87">
        <v>0.06</v>
      </c>
      <c r="J65" s="205">
        <f t="shared" ref="J65:J72" si="24">$J$63</f>
        <v>0</v>
      </c>
      <c r="K65" s="38">
        <f t="shared" si="19"/>
        <v>0</v>
      </c>
      <c r="L65" s="166">
        <f t="shared" ref="L65" si="25">J65*(1-K65)*I65</f>
        <v>0</v>
      </c>
      <c r="M65" s="166">
        <f t="shared" ref="M65" si="26">L65+H65</f>
        <v>0.51200000000000001</v>
      </c>
      <c r="N65" s="166">
        <f t="shared" ref="N65" si="27">M65*C65</f>
        <v>0</v>
      </c>
    </row>
    <row r="66" spans="3:14" ht="14.1" customHeight="1" x14ac:dyDescent="0.2">
      <c r="C66" s="8">
        <v>0</v>
      </c>
      <c r="D66" s="191" t="s">
        <v>41</v>
      </c>
      <c r="E66" s="86">
        <v>1.0999999999999999E-2</v>
      </c>
      <c r="F66" s="182">
        <v>64</v>
      </c>
      <c r="G66" s="38">
        <f t="shared" si="17"/>
        <v>0</v>
      </c>
      <c r="H66" s="166">
        <f t="shared" si="18"/>
        <v>0.70399999999999996</v>
      </c>
      <c r="I66" s="87">
        <v>0.08</v>
      </c>
      <c r="J66" s="205">
        <f t="shared" si="24"/>
        <v>0</v>
      </c>
      <c r="K66" s="38">
        <f t="shared" si="19"/>
        <v>0</v>
      </c>
      <c r="L66" s="166">
        <f t="shared" si="20"/>
        <v>0</v>
      </c>
      <c r="M66" s="166">
        <f t="shared" si="21"/>
        <v>0.70399999999999996</v>
      </c>
      <c r="N66" s="166">
        <f t="shared" si="22"/>
        <v>0</v>
      </c>
    </row>
    <row r="67" spans="3:14" ht="14.1" customHeight="1" x14ac:dyDescent="0.2">
      <c r="C67" s="8">
        <v>0</v>
      </c>
      <c r="D67" s="191" t="s">
        <v>42</v>
      </c>
      <c r="E67" s="86">
        <v>1.4E-2</v>
      </c>
      <c r="F67" s="182">
        <v>64</v>
      </c>
      <c r="G67" s="38">
        <f t="shared" si="17"/>
        <v>0</v>
      </c>
      <c r="H67" s="166">
        <f t="shared" ref="H67" si="28">F67*(1-G67)*E67</f>
        <v>0.89600000000000002</v>
      </c>
      <c r="I67" s="87">
        <v>0.1</v>
      </c>
      <c r="J67" s="205">
        <f t="shared" si="24"/>
        <v>0</v>
      </c>
      <c r="K67" s="38">
        <f t="shared" si="19"/>
        <v>0</v>
      </c>
      <c r="L67" s="166">
        <f t="shared" ref="L67" si="29">J67*(1-K67)*I67</f>
        <v>0</v>
      </c>
      <c r="M67" s="166">
        <f t="shared" ref="M67" si="30">L67+H67</f>
        <v>0.89600000000000002</v>
      </c>
      <c r="N67" s="166">
        <f t="shared" ref="N67" si="31">M67*C67</f>
        <v>0</v>
      </c>
    </row>
    <row r="68" spans="3:14" ht="14.1" customHeight="1" x14ac:dyDescent="0.2">
      <c r="C68" s="8">
        <v>0</v>
      </c>
      <c r="D68" s="191" t="s">
        <v>43</v>
      </c>
      <c r="E68" s="86">
        <v>1.6E-2</v>
      </c>
      <c r="F68" s="182">
        <v>64</v>
      </c>
      <c r="G68" s="38">
        <f t="shared" si="17"/>
        <v>0</v>
      </c>
      <c r="H68" s="166">
        <f t="shared" si="18"/>
        <v>1.024</v>
      </c>
      <c r="I68" s="87">
        <v>0.12</v>
      </c>
      <c r="J68" s="205">
        <f t="shared" si="24"/>
        <v>0</v>
      </c>
      <c r="K68" s="38">
        <f t="shared" si="19"/>
        <v>0</v>
      </c>
      <c r="L68" s="166">
        <f t="shared" si="20"/>
        <v>0</v>
      </c>
      <c r="M68" s="166">
        <f t="shared" si="21"/>
        <v>1.024</v>
      </c>
      <c r="N68" s="166">
        <f t="shared" si="22"/>
        <v>0</v>
      </c>
    </row>
    <row r="69" spans="3:14" ht="14.1" customHeight="1" x14ac:dyDescent="0.2">
      <c r="C69" s="8">
        <v>0</v>
      </c>
      <c r="D69" s="191" t="s">
        <v>44</v>
      </c>
      <c r="E69" s="86">
        <v>1.9E-2</v>
      </c>
      <c r="F69" s="182">
        <v>64</v>
      </c>
      <c r="G69" s="38">
        <f>$G$63</f>
        <v>0</v>
      </c>
      <c r="H69" s="166">
        <f t="shared" si="18"/>
        <v>1.216</v>
      </c>
      <c r="I69" s="87">
        <v>0.14000000000000001</v>
      </c>
      <c r="J69" s="205">
        <f t="shared" si="24"/>
        <v>0</v>
      </c>
      <c r="K69" s="38">
        <f t="shared" si="19"/>
        <v>0</v>
      </c>
      <c r="L69" s="166">
        <f t="shared" si="20"/>
        <v>0</v>
      </c>
      <c r="M69" s="166">
        <f t="shared" si="21"/>
        <v>1.216</v>
      </c>
      <c r="N69" s="166">
        <f t="shared" si="22"/>
        <v>0</v>
      </c>
    </row>
    <row r="70" spans="3:14" ht="14.1" customHeight="1" x14ac:dyDescent="0.2">
      <c r="C70" s="8">
        <v>0</v>
      </c>
      <c r="D70" s="191" t="s">
        <v>47</v>
      </c>
      <c r="E70" s="86">
        <v>2.1999999999999999E-2</v>
      </c>
      <c r="F70" s="182">
        <v>64</v>
      </c>
      <c r="G70" s="38">
        <f t="shared" si="17"/>
        <v>0</v>
      </c>
      <c r="H70" s="166">
        <f t="shared" si="18"/>
        <v>1.4079999999999999</v>
      </c>
      <c r="I70" s="87">
        <v>0.16</v>
      </c>
      <c r="J70" s="205">
        <f t="shared" si="24"/>
        <v>0</v>
      </c>
      <c r="K70" s="38">
        <f t="shared" si="19"/>
        <v>0</v>
      </c>
      <c r="L70" s="166">
        <f t="shared" si="20"/>
        <v>0</v>
      </c>
      <c r="M70" s="166">
        <f t="shared" si="21"/>
        <v>1.4079999999999999</v>
      </c>
      <c r="N70" s="166">
        <f t="shared" si="22"/>
        <v>0</v>
      </c>
    </row>
    <row r="71" spans="3:14" ht="14.1" customHeight="1" x14ac:dyDescent="0.2">
      <c r="C71" s="8">
        <v>0</v>
      </c>
      <c r="D71" s="191" t="s">
        <v>45</v>
      </c>
      <c r="E71" s="86">
        <v>2.4E-2</v>
      </c>
      <c r="F71" s="182">
        <v>64</v>
      </c>
      <c r="G71" s="38">
        <f t="shared" si="17"/>
        <v>0</v>
      </c>
      <c r="H71" s="166">
        <f t="shared" si="18"/>
        <v>1.536</v>
      </c>
      <c r="I71" s="87">
        <v>0.18</v>
      </c>
      <c r="J71" s="205">
        <f t="shared" si="24"/>
        <v>0</v>
      </c>
      <c r="K71" s="38">
        <f t="shared" si="19"/>
        <v>0</v>
      </c>
      <c r="L71" s="166">
        <f t="shared" si="20"/>
        <v>0</v>
      </c>
      <c r="M71" s="166">
        <f t="shared" si="21"/>
        <v>1.536</v>
      </c>
      <c r="N71" s="166">
        <f t="shared" si="22"/>
        <v>0</v>
      </c>
    </row>
    <row r="72" spans="3:14" ht="14.1" customHeight="1" x14ac:dyDescent="0.2">
      <c r="C72" s="8">
        <v>0</v>
      </c>
      <c r="D72" s="191" t="s">
        <v>46</v>
      </c>
      <c r="E72" s="86">
        <v>2.7E-2</v>
      </c>
      <c r="F72" s="182">
        <v>64</v>
      </c>
      <c r="G72" s="38">
        <f t="shared" si="17"/>
        <v>0</v>
      </c>
      <c r="H72" s="166">
        <f t="shared" si="18"/>
        <v>1.728</v>
      </c>
      <c r="I72" s="87">
        <v>0.2</v>
      </c>
      <c r="J72" s="205">
        <f t="shared" si="24"/>
        <v>0</v>
      </c>
      <c r="K72" s="38">
        <f t="shared" si="19"/>
        <v>0</v>
      </c>
      <c r="L72" s="206">
        <f t="shared" si="20"/>
        <v>0</v>
      </c>
      <c r="M72" s="206">
        <f t="shared" si="21"/>
        <v>1.728</v>
      </c>
      <c r="N72" s="206">
        <f t="shared" si="22"/>
        <v>0</v>
      </c>
    </row>
    <row r="73" spans="3:14" ht="14.1" customHeight="1" x14ac:dyDescent="0.2">
      <c r="K73" s="263" t="s">
        <v>86</v>
      </c>
      <c r="L73" s="264"/>
      <c r="M73" s="265"/>
      <c r="N73" s="167">
        <f>SUM(N63:N72)</f>
        <v>0</v>
      </c>
    </row>
    <row r="74" spans="3:14" ht="14.1" customHeight="1" x14ac:dyDescent="0.2">
      <c r="K74" s="263" t="s">
        <v>177</v>
      </c>
      <c r="L74" s="264"/>
      <c r="M74" s="265"/>
      <c r="N74" s="148">
        <f>SUMPRODUCT(C63:C72,E63:E72)</f>
        <v>0</v>
      </c>
    </row>
    <row r="75" spans="3:14" ht="14.1" customHeight="1" x14ac:dyDescent="0.2">
      <c r="K75" s="263" t="s">
        <v>231</v>
      </c>
      <c r="L75" s="264"/>
      <c r="M75" s="265"/>
      <c r="N75" s="148">
        <f>SUMPRODUCT(C63:C72,I63:I72)</f>
        <v>0</v>
      </c>
    </row>
    <row r="76" spans="3:14" ht="20.100000000000001" customHeight="1" x14ac:dyDescent="0.2"/>
    <row r="77" spans="3:14" ht="33" customHeight="1" x14ac:dyDescent="0.2">
      <c r="C77" s="311" t="s">
        <v>235</v>
      </c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</row>
    <row r="78" spans="3:14" ht="30" customHeight="1" x14ac:dyDescent="0.2">
      <c r="C78" s="291" t="s">
        <v>227</v>
      </c>
      <c r="D78" s="291" t="s">
        <v>228</v>
      </c>
      <c r="E78" s="260" t="s">
        <v>167</v>
      </c>
      <c r="F78" s="261"/>
      <c r="G78" s="261"/>
      <c r="H78" s="262"/>
      <c r="I78" s="260" t="s">
        <v>236</v>
      </c>
      <c r="J78" s="261"/>
      <c r="K78" s="261"/>
      <c r="L78" s="262"/>
      <c r="M78" s="228" t="s">
        <v>107</v>
      </c>
      <c r="N78" s="228" t="s">
        <v>108</v>
      </c>
    </row>
    <row r="79" spans="3:14" ht="14.1" customHeight="1" x14ac:dyDescent="0.2">
      <c r="C79" s="292"/>
      <c r="D79" s="292"/>
      <c r="E79" s="147" t="s">
        <v>0</v>
      </c>
      <c r="F79" s="147" t="s">
        <v>1</v>
      </c>
      <c r="G79" s="147" t="s">
        <v>2</v>
      </c>
      <c r="H79" s="147" t="s">
        <v>3</v>
      </c>
      <c r="I79" s="147" t="s">
        <v>14</v>
      </c>
      <c r="J79" s="147" t="s">
        <v>15</v>
      </c>
      <c r="K79" s="147" t="s">
        <v>2</v>
      </c>
      <c r="L79" s="147" t="s">
        <v>3</v>
      </c>
      <c r="M79" s="228"/>
      <c r="N79" s="228"/>
    </row>
    <row r="80" spans="3:14" ht="14.1" customHeight="1" x14ac:dyDescent="0.2">
      <c r="C80" s="8">
        <v>0</v>
      </c>
      <c r="D80" s="191" t="s">
        <v>38</v>
      </c>
      <c r="E80" s="86">
        <v>3.0000000000000001E-3</v>
      </c>
      <c r="F80" s="182">
        <v>64</v>
      </c>
      <c r="G80" s="9">
        <v>0</v>
      </c>
      <c r="H80" s="166">
        <f>F80*(1-G80)*E80</f>
        <v>0.192</v>
      </c>
      <c r="I80" s="204">
        <v>0.02</v>
      </c>
      <c r="J80" s="207">
        <v>0</v>
      </c>
      <c r="K80" s="9">
        <v>0</v>
      </c>
      <c r="L80" s="166">
        <f>J80*(1-K80)*I80</f>
        <v>0</v>
      </c>
      <c r="M80" s="166">
        <f>L80+H80</f>
        <v>0.192</v>
      </c>
      <c r="N80" s="166">
        <f>M80*C80</f>
        <v>0</v>
      </c>
    </row>
    <row r="81" spans="1:17" ht="14.1" customHeight="1" x14ac:dyDescent="0.2">
      <c r="C81" s="8">
        <v>0</v>
      </c>
      <c r="D81" s="191" t="s">
        <v>39</v>
      </c>
      <c r="E81" s="86">
        <v>5.0000000000000001E-3</v>
      </c>
      <c r="F81" s="182">
        <v>64</v>
      </c>
      <c r="G81" s="38">
        <f>$G$80</f>
        <v>0</v>
      </c>
      <c r="H81" s="166">
        <f t="shared" ref="H81:H89" si="32">F81*(1-G81)*E81</f>
        <v>0.32</v>
      </c>
      <c r="I81" s="87">
        <v>0.04</v>
      </c>
      <c r="J81" s="205">
        <f>$J$80</f>
        <v>0</v>
      </c>
      <c r="K81" s="38">
        <f>$K$80</f>
        <v>0</v>
      </c>
      <c r="L81" s="166">
        <f t="shared" ref="L81:L89" si="33">J81*(1-K81)*I81</f>
        <v>0</v>
      </c>
      <c r="M81" s="166">
        <f t="shared" ref="M81:M89" si="34">L81+H81</f>
        <v>0.32</v>
      </c>
      <c r="N81" s="166">
        <f t="shared" ref="N81:N89" si="35">M81*C81</f>
        <v>0</v>
      </c>
    </row>
    <row r="82" spans="1:17" ht="14.1" customHeight="1" x14ac:dyDescent="0.2">
      <c r="C82" s="8">
        <v>0</v>
      </c>
      <c r="D82" s="191" t="s">
        <v>40</v>
      </c>
      <c r="E82" s="86">
        <v>8.0000000000000002E-3</v>
      </c>
      <c r="F82" s="182">
        <v>64</v>
      </c>
      <c r="G82" s="38">
        <f t="shared" ref="G82:G89" si="36">$G$80</f>
        <v>0</v>
      </c>
      <c r="H82" s="166">
        <f t="shared" si="32"/>
        <v>0.51200000000000001</v>
      </c>
      <c r="I82" s="87">
        <v>0.06</v>
      </c>
      <c r="J82" s="205">
        <f t="shared" ref="J82:J89" si="37">$J$80</f>
        <v>0</v>
      </c>
      <c r="K82" s="38">
        <f t="shared" ref="K82:K89" si="38">$K$80</f>
        <v>0</v>
      </c>
      <c r="L82" s="166">
        <f t="shared" si="33"/>
        <v>0</v>
      </c>
      <c r="M82" s="166">
        <f t="shared" si="34"/>
        <v>0.51200000000000001</v>
      </c>
      <c r="N82" s="166">
        <f t="shared" si="35"/>
        <v>0</v>
      </c>
    </row>
    <row r="83" spans="1:17" ht="14.1" customHeight="1" x14ac:dyDescent="0.2">
      <c r="C83" s="8">
        <v>0</v>
      </c>
      <c r="D83" s="191" t="s">
        <v>41</v>
      </c>
      <c r="E83" s="86">
        <v>1.0999999999999999E-2</v>
      </c>
      <c r="F83" s="182">
        <v>64</v>
      </c>
      <c r="G83" s="38">
        <f t="shared" si="36"/>
        <v>0</v>
      </c>
      <c r="H83" s="166">
        <f t="shared" si="32"/>
        <v>0.70399999999999996</v>
      </c>
      <c r="I83" s="87">
        <v>0.08</v>
      </c>
      <c r="J83" s="205">
        <f t="shared" si="37"/>
        <v>0</v>
      </c>
      <c r="K83" s="38">
        <f>$K$80</f>
        <v>0</v>
      </c>
      <c r="L83" s="166">
        <f t="shared" si="33"/>
        <v>0</v>
      </c>
      <c r="M83" s="166">
        <f t="shared" si="34"/>
        <v>0.70399999999999996</v>
      </c>
      <c r="N83" s="166">
        <f t="shared" si="35"/>
        <v>0</v>
      </c>
    </row>
    <row r="84" spans="1:17" ht="14.1" customHeight="1" x14ac:dyDescent="0.2">
      <c r="C84" s="8">
        <v>0</v>
      </c>
      <c r="D84" s="191" t="s">
        <v>42</v>
      </c>
      <c r="E84" s="86">
        <v>1.4E-2</v>
      </c>
      <c r="F84" s="182">
        <v>64</v>
      </c>
      <c r="G84" s="38">
        <f>$G$80</f>
        <v>0</v>
      </c>
      <c r="H84" s="166">
        <f t="shared" si="32"/>
        <v>0.89600000000000002</v>
      </c>
      <c r="I84" s="87">
        <v>0.1</v>
      </c>
      <c r="J84" s="205">
        <f t="shared" si="37"/>
        <v>0</v>
      </c>
      <c r="K84" s="38">
        <f t="shared" si="38"/>
        <v>0</v>
      </c>
      <c r="L84" s="166">
        <f t="shared" si="33"/>
        <v>0</v>
      </c>
      <c r="M84" s="166">
        <f t="shared" si="34"/>
        <v>0.89600000000000002</v>
      </c>
      <c r="N84" s="166">
        <f t="shared" si="35"/>
        <v>0</v>
      </c>
    </row>
    <row r="85" spans="1:17" ht="14.1" customHeight="1" x14ac:dyDescent="0.2">
      <c r="C85" s="8">
        <v>0</v>
      </c>
      <c r="D85" s="191" t="s">
        <v>43</v>
      </c>
      <c r="E85" s="86">
        <v>1.6E-2</v>
      </c>
      <c r="F85" s="182">
        <v>64</v>
      </c>
      <c r="G85" s="38">
        <f t="shared" si="36"/>
        <v>0</v>
      </c>
      <c r="H85" s="166">
        <f t="shared" si="32"/>
        <v>1.024</v>
      </c>
      <c r="I85" s="87">
        <v>0.12</v>
      </c>
      <c r="J85" s="205">
        <f t="shared" si="37"/>
        <v>0</v>
      </c>
      <c r="K85" s="38">
        <f t="shared" si="38"/>
        <v>0</v>
      </c>
      <c r="L85" s="166">
        <f t="shared" si="33"/>
        <v>0</v>
      </c>
      <c r="M85" s="166">
        <f t="shared" si="34"/>
        <v>1.024</v>
      </c>
      <c r="N85" s="166">
        <f t="shared" si="35"/>
        <v>0</v>
      </c>
    </row>
    <row r="86" spans="1:17" ht="14.1" customHeight="1" x14ac:dyDescent="0.2">
      <c r="C86" s="8">
        <v>0</v>
      </c>
      <c r="D86" s="191" t="s">
        <v>44</v>
      </c>
      <c r="E86" s="86">
        <v>1.9E-2</v>
      </c>
      <c r="F86" s="182">
        <v>64</v>
      </c>
      <c r="G86" s="38">
        <f t="shared" si="36"/>
        <v>0</v>
      </c>
      <c r="H86" s="166">
        <f t="shared" si="32"/>
        <v>1.216</v>
      </c>
      <c r="I86" s="87">
        <v>0.14000000000000001</v>
      </c>
      <c r="J86" s="205">
        <f t="shared" si="37"/>
        <v>0</v>
      </c>
      <c r="K86" s="38">
        <f t="shared" si="38"/>
        <v>0</v>
      </c>
      <c r="L86" s="166">
        <f t="shared" si="33"/>
        <v>0</v>
      </c>
      <c r="M86" s="166">
        <f t="shared" si="34"/>
        <v>1.216</v>
      </c>
      <c r="N86" s="166">
        <f t="shared" si="35"/>
        <v>0</v>
      </c>
    </row>
    <row r="87" spans="1:17" ht="14.1" customHeight="1" x14ac:dyDescent="0.2">
      <c r="C87" s="8">
        <v>0</v>
      </c>
      <c r="D87" s="191" t="s">
        <v>47</v>
      </c>
      <c r="E87" s="86">
        <v>2.1999999999999999E-2</v>
      </c>
      <c r="F87" s="182">
        <v>64</v>
      </c>
      <c r="G87" s="38">
        <f t="shared" si="36"/>
        <v>0</v>
      </c>
      <c r="H87" s="166">
        <f t="shared" si="32"/>
        <v>1.4079999999999999</v>
      </c>
      <c r="I87" s="87">
        <v>0.16</v>
      </c>
      <c r="J87" s="205">
        <f t="shared" si="37"/>
        <v>0</v>
      </c>
      <c r="K87" s="38">
        <f t="shared" si="38"/>
        <v>0</v>
      </c>
      <c r="L87" s="166">
        <f t="shared" si="33"/>
        <v>0</v>
      </c>
      <c r="M87" s="166">
        <f t="shared" si="34"/>
        <v>1.4079999999999999</v>
      </c>
      <c r="N87" s="166">
        <f t="shared" si="35"/>
        <v>0</v>
      </c>
    </row>
    <row r="88" spans="1:17" ht="14.1" customHeight="1" x14ac:dyDescent="0.2">
      <c r="C88" s="8">
        <v>0</v>
      </c>
      <c r="D88" s="191" t="s">
        <v>45</v>
      </c>
      <c r="E88" s="86">
        <v>2.4E-2</v>
      </c>
      <c r="F88" s="182">
        <v>64</v>
      </c>
      <c r="G88" s="38">
        <f t="shared" si="36"/>
        <v>0</v>
      </c>
      <c r="H88" s="166">
        <f t="shared" si="32"/>
        <v>1.536</v>
      </c>
      <c r="I88" s="87">
        <v>0.18</v>
      </c>
      <c r="J88" s="205">
        <f t="shared" si="37"/>
        <v>0</v>
      </c>
      <c r="K88" s="38">
        <f t="shared" si="38"/>
        <v>0</v>
      </c>
      <c r="L88" s="166">
        <f t="shared" si="33"/>
        <v>0</v>
      </c>
      <c r="M88" s="166">
        <f t="shared" si="34"/>
        <v>1.536</v>
      </c>
      <c r="N88" s="166">
        <f t="shared" si="35"/>
        <v>0</v>
      </c>
    </row>
    <row r="89" spans="1:17" ht="14.1" customHeight="1" x14ac:dyDescent="0.2">
      <c r="C89" s="8">
        <v>0</v>
      </c>
      <c r="D89" s="191" t="s">
        <v>46</v>
      </c>
      <c r="E89" s="86">
        <v>2.7E-2</v>
      </c>
      <c r="F89" s="182">
        <v>64</v>
      </c>
      <c r="G89" s="38">
        <f t="shared" si="36"/>
        <v>0</v>
      </c>
      <c r="H89" s="166">
        <f t="shared" si="32"/>
        <v>1.728</v>
      </c>
      <c r="I89" s="87">
        <v>0.2</v>
      </c>
      <c r="J89" s="205">
        <f t="shared" si="37"/>
        <v>0</v>
      </c>
      <c r="K89" s="38">
        <f t="shared" si="38"/>
        <v>0</v>
      </c>
      <c r="L89" s="181">
        <f t="shared" si="33"/>
        <v>0</v>
      </c>
      <c r="M89" s="181">
        <f t="shared" si="34"/>
        <v>1.728</v>
      </c>
      <c r="N89" s="181">
        <f t="shared" si="35"/>
        <v>0</v>
      </c>
    </row>
    <row r="90" spans="1:17" ht="14.1" customHeight="1" x14ac:dyDescent="0.2">
      <c r="K90" s="263" t="s">
        <v>86</v>
      </c>
      <c r="L90" s="264"/>
      <c r="M90" s="265"/>
      <c r="N90" s="167">
        <f>SUM(N80:N89)</f>
        <v>0</v>
      </c>
    </row>
    <row r="91" spans="1:17" ht="14.1" customHeight="1" x14ac:dyDescent="0.2">
      <c r="K91" s="263" t="s">
        <v>177</v>
      </c>
      <c r="L91" s="264"/>
      <c r="M91" s="265"/>
      <c r="N91" s="148">
        <f>SUMPRODUCT(C80:C89,E80:E89)</f>
        <v>0</v>
      </c>
    </row>
    <row r="92" spans="1:17" ht="14.1" customHeight="1" x14ac:dyDescent="0.2">
      <c r="A92" s="278" t="s">
        <v>81</v>
      </c>
      <c r="B92" s="278"/>
      <c r="C92" s="278"/>
      <c r="K92" s="263" t="s">
        <v>231</v>
      </c>
      <c r="L92" s="264"/>
      <c r="M92" s="265"/>
      <c r="N92" s="148">
        <f>SUMPRODUCT(C80:C89,I80:I89)</f>
        <v>0</v>
      </c>
    </row>
    <row r="93" spans="1:17" ht="20.100000000000001" customHeight="1" x14ac:dyDescent="0.2"/>
    <row r="94" spans="1:17" ht="20.100000000000001" customHeight="1" x14ac:dyDescent="0.2"/>
    <row r="96" spans="1:17" ht="30" customHeight="1" x14ac:dyDescent="0.2">
      <c r="A96" s="224" t="s">
        <v>33</v>
      </c>
      <c r="B96" s="224"/>
      <c r="C96" s="224"/>
      <c r="D96" s="224"/>
      <c r="E96" s="224"/>
      <c r="F96" s="224"/>
      <c r="G96" s="224"/>
      <c r="H96" s="224"/>
      <c r="I96" s="224"/>
      <c r="J96" s="224"/>
      <c r="K96" s="224"/>
      <c r="L96" s="224"/>
      <c r="M96" s="224"/>
      <c r="N96" s="224"/>
      <c r="O96" s="224"/>
      <c r="P96" s="224"/>
      <c r="Q96" s="224"/>
    </row>
    <row r="100" spans="4:13" ht="14.1" customHeight="1" x14ac:dyDescent="0.2">
      <c r="J100" s="259" t="s">
        <v>234</v>
      </c>
      <c r="K100" s="259"/>
      <c r="L100" s="259"/>
      <c r="M100" s="259"/>
    </row>
    <row r="101" spans="4:13" ht="14.1" customHeight="1" x14ac:dyDescent="0.2">
      <c r="J101" s="21" t="s">
        <v>162</v>
      </c>
      <c r="K101" s="21"/>
      <c r="L101" s="21"/>
      <c r="M101" s="21"/>
    </row>
    <row r="102" spans="4:13" ht="14.1" customHeight="1" x14ac:dyDescent="0.2">
      <c r="J102" s="21" t="s">
        <v>91</v>
      </c>
      <c r="K102" s="21"/>
      <c r="L102" s="21"/>
      <c r="M102" s="21"/>
    </row>
    <row r="103" spans="4:13" ht="14.1" customHeight="1" x14ac:dyDescent="0.2">
      <c r="J103" s="259" t="s">
        <v>92</v>
      </c>
      <c r="K103" s="259"/>
      <c r="L103" s="259"/>
      <c r="M103" s="259"/>
    </row>
    <row r="105" spans="4:13" ht="20.100000000000001" customHeight="1" x14ac:dyDescent="0.2">
      <c r="D105" s="227" t="s">
        <v>242</v>
      </c>
      <c r="E105" s="227"/>
      <c r="F105" s="227"/>
      <c r="G105" s="227"/>
      <c r="H105" s="227"/>
      <c r="I105" s="227"/>
      <c r="J105" s="227"/>
      <c r="K105" s="227"/>
      <c r="L105" s="227"/>
      <c r="M105" s="227"/>
    </row>
    <row r="106" spans="4:13" s="26" customFormat="1" ht="25.5" customHeight="1" x14ac:dyDescent="0.2">
      <c r="D106" s="228" t="s">
        <v>227</v>
      </c>
      <c r="E106" s="228" t="s">
        <v>239</v>
      </c>
      <c r="F106" s="228" t="s">
        <v>240</v>
      </c>
      <c r="G106" s="228" t="s">
        <v>216</v>
      </c>
      <c r="H106" s="291" t="s">
        <v>217</v>
      </c>
      <c r="I106" s="228" t="s">
        <v>238</v>
      </c>
      <c r="J106" s="230"/>
      <c r="K106" s="230"/>
      <c r="L106" s="230"/>
      <c r="M106" s="228" t="s">
        <v>188</v>
      </c>
    </row>
    <row r="107" spans="4:13" ht="21.75" customHeight="1" x14ac:dyDescent="0.2">
      <c r="D107" s="228"/>
      <c r="E107" s="228"/>
      <c r="F107" s="228"/>
      <c r="G107" s="228"/>
      <c r="H107" s="312"/>
      <c r="I107" s="230"/>
      <c r="J107" s="230"/>
      <c r="K107" s="230"/>
      <c r="L107" s="230"/>
      <c r="M107" s="228"/>
    </row>
    <row r="108" spans="4:13" ht="14.1" customHeight="1" x14ac:dyDescent="0.2">
      <c r="D108" s="228"/>
      <c r="E108" s="228"/>
      <c r="F108" s="228"/>
      <c r="G108" s="291"/>
      <c r="H108" s="312"/>
      <c r="I108" s="139" t="s">
        <v>0</v>
      </c>
      <c r="J108" s="139" t="s">
        <v>1</v>
      </c>
      <c r="K108" s="139" t="s">
        <v>2</v>
      </c>
      <c r="L108" s="139" t="s">
        <v>3</v>
      </c>
      <c r="M108" s="228"/>
    </row>
    <row r="109" spans="4:13" ht="14.1" customHeight="1" x14ac:dyDescent="0.2">
      <c r="D109" s="7"/>
      <c r="E109" s="96">
        <v>1</v>
      </c>
      <c r="F109" s="7"/>
      <c r="G109" s="37">
        <f>(D109*100)*E109*F109</f>
        <v>0</v>
      </c>
      <c r="H109" s="37">
        <v>38</v>
      </c>
      <c r="I109" s="41">
        <f>G109/(H109*1000)</f>
        <v>0</v>
      </c>
      <c r="J109" s="174">
        <v>8</v>
      </c>
      <c r="K109" s="5">
        <v>0</v>
      </c>
      <c r="L109" s="174">
        <f>J109*(1-K109)</f>
        <v>8</v>
      </c>
      <c r="M109" s="174">
        <f>L109*I109</f>
        <v>0</v>
      </c>
    </row>
    <row r="110" spans="4:13" ht="14.1" customHeight="1" x14ac:dyDescent="0.2">
      <c r="D110" s="7"/>
      <c r="E110" s="96">
        <v>2</v>
      </c>
      <c r="F110" s="7"/>
      <c r="G110" s="37">
        <f t="shared" ref="G110" si="39">(D110*100)*E110*F110</f>
        <v>0</v>
      </c>
      <c r="H110" s="37">
        <v>38</v>
      </c>
      <c r="I110" s="41">
        <f t="shared" ref="I110" si="40">G110/(H110*1000)</f>
        <v>0</v>
      </c>
      <c r="J110" s="174">
        <v>8</v>
      </c>
      <c r="K110" s="40">
        <f>$K$109</f>
        <v>0</v>
      </c>
      <c r="L110" s="174">
        <f>J110*(1-K110)</f>
        <v>8</v>
      </c>
      <c r="M110" s="174">
        <f t="shared" ref="M110" si="41">L110*I110</f>
        <v>0</v>
      </c>
    </row>
    <row r="111" spans="4:13" ht="14.1" customHeight="1" x14ac:dyDescent="0.2">
      <c r="K111" s="263" t="s">
        <v>4</v>
      </c>
      <c r="L111" s="265"/>
      <c r="M111" s="167">
        <f>SUM(M106:M110)</f>
        <v>0</v>
      </c>
    </row>
    <row r="112" spans="4:13" ht="14.1" customHeight="1" x14ac:dyDescent="0.2">
      <c r="K112" s="263" t="s">
        <v>16</v>
      </c>
      <c r="L112" s="265"/>
      <c r="M112" s="149">
        <f>SUM(I109:I110)</f>
        <v>0</v>
      </c>
    </row>
    <row r="115" spans="1:16" s="26" customFormat="1" ht="20.100000000000001" customHeight="1" x14ac:dyDescent="0.2">
      <c r="B115" s="238" t="s">
        <v>243</v>
      </c>
      <c r="C115" s="239"/>
      <c r="D115" s="239"/>
      <c r="E115" s="239"/>
      <c r="F115" s="239"/>
      <c r="G115" s="239"/>
      <c r="H115" s="239"/>
      <c r="I115" s="239"/>
      <c r="J115" s="239"/>
      <c r="K115" s="239"/>
      <c r="L115" s="239"/>
      <c r="M115" s="239"/>
      <c r="N115" s="239"/>
      <c r="O115" s="239"/>
      <c r="P115" s="240"/>
    </row>
    <row r="116" spans="1:16" ht="24.75" customHeight="1" x14ac:dyDescent="0.2">
      <c r="B116" s="228" t="s">
        <v>227</v>
      </c>
      <c r="C116" s="228" t="s">
        <v>239</v>
      </c>
      <c r="D116" s="228" t="s">
        <v>240</v>
      </c>
      <c r="E116" s="228" t="s">
        <v>241</v>
      </c>
      <c r="F116" s="228" t="s">
        <v>216</v>
      </c>
      <c r="G116" s="291" t="s">
        <v>217</v>
      </c>
      <c r="H116" s="228" t="s">
        <v>238</v>
      </c>
      <c r="I116" s="230"/>
      <c r="J116" s="230"/>
      <c r="K116" s="230"/>
      <c r="L116" s="230" t="s">
        <v>222</v>
      </c>
      <c r="M116" s="230"/>
      <c r="N116" s="230"/>
      <c r="O116" s="230"/>
      <c r="P116" s="228" t="s">
        <v>188</v>
      </c>
    </row>
    <row r="117" spans="1:16" ht="14.1" customHeight="1" x14ac:dyDescent="0.2">
      <c r="B117" s="228"/>
      <c r="C117" s="228"/>
      <c r="D117" s="228"/>
      <c r="E117" s="228"/>
      <c r="F117" s="228"/>
      <c r="G117" s="312"/>
      <c r="H117" s="230"/>
      <c r="I117" s="230"/>
      <c r="J117" s="230"/>
      <c r="K117" s="230"/>
      <c r="L117" s="230"/>
      <c r="M117" s="230"/>
      <c r="N117" s="230"/>
      <c r="O117" s="230"/>
      <c r="P117" s="228"/>
    </row>
    <row r="118" spans="1:16" ht="14.1" customHeight="1" x14ac:dyDescent="0.2">
      <c r="B118" s="228"/>
      <c r="C118" s="228"/>
      <c r="D118" s="228"/>
      <c r="E118" s="228"/>
      <c r="F118" s="291"/>
      <c r="G118" s="312"/>
      <c r="H118" s="139" t="s">
        <v>0</v>
      </c>
      <c r="I118" s="139" t="s">
        <v>1</v>
      </c>
      <c r="J118" s="139" t="s">
        <v>2</v>
      </c>
      <c r="K118" s="139" t="s">
        <v>3</v>
      </c>
      <c r="L118" s="150" t="s">
        <v>5</v>
      </c>
      <c r="M118" s="150" t="s">
        <v>200</v>
      </c>
      <c r="N118" s="150" t="s">
        <v>2</v>
      </c>
      <c r="O118" s="150" t="s">
        <v>3</v>
      </c>
      <c r="P118" s="228"/>
    </row>
    <row r="119" spans="1:16" ht="14.1" customHeight="1" x14ac:dyDescent="0.2">
      <c r="B119" s="7">
        <v>0</v>
      </c>
      <c r="C119" s="7">
        <v>0</v>
      </c>
      <c r="D119" s="7">
        <v>0</v>
      </c>
      <c r="E119" s="96">
        <v>10</v>
      </c>
      <c r="F119" s="37">
        <f>(B119*100)*C119*E119</f>
        <v>0</v>
      </c>
      <c r="G119" s="37">
        <v>38</v>
      </c>
      <c r="H119" s="41">
        <f>F119/(G119*1000)</f>
        <v>0</v>
      </c>
      <c r="I119" s="174">
        <v>8</v>
      </c>
      <c r="J119" s="6">
        <v>0</v>
      </c>
      <c r="K119" s="174">
        <f>I119*(1-J119)</f>
        <v>8</v>
      </c>
      <c r="L119" s="37">
        <f>((((B119*100)*C119*D119)-F119)/1000000)*90</f>
        <v>0</v>
      </c>
      <c r="M119" s="197">
        <v>0</v>
      </c>
      <c r="N119" s="6">
        <v>0</v>
      </c>
      <c r="O119" s="174">
        <f>M119*(1-N119)</f>
        <v>0</v>
      </c>
      <c r="P119" s="174">
        <f>K119*H119+(O119*L119)</f>
        <v>0</v>
      </c>
    </row>
    <row r="120" spans="1:16" ht="14.1" customHeight="1" x14ac:dyDescent="0.2">
      <c r="B120" s="7">
        <v>0</v>
      </c>
      <c r="C120" s="7">
        <v>0</v>
      </c>
      <c r="D120" s="7">
        <v>0</v>
      </c>
      <c r="E120" s="96">
        <v>10</v>
      </c>
      <c r="F120" s="37">
        <f>(B120*100)*C120*E120</f>
        <v>0</v>
      </c>
      <c r="G120" s="37">
        <v>38</v>
      </c>
      <c r="H120" s="41">
        <f t="shared" ref="H120:H121" si="42">F120/(G120*1000)</f>
        <v>0</v>
      </c>
      <c r="I120" s="174">
        <v>8</v>
      </c>
      <c r="J120" s="40">
        <f>$J$119</f>
        <v>0</v>
      </c>
      <c r="K120" s="174">
        <f>I120*(1-J120)</f>
        <v>8</v>
      </c>
      <c r="L120" s="37">
        <f t="shared" ref="L120:L121" si="43">((((B120*100)*C120*D120)-F120)/1000000)*90</f>
        <v>0</v>
      </c>
      <c r="M120" s="175">
        <f>$M$119</f>
        <v>0</v>
      </c>
      <c r="N120" s="97">
        <f>$N$119</f>
        <v>0</v>
      </c>
      <c r="O120" s="174">
        <f t="shared" ref="O120:O121" si="44">M120*(1-N120)</f>
        <v>0</v>
      </c>
      <c r="P120" s="174">
        <f t="shared" ref="P120:P121" si="45">K120*H120+(O120*L120)</f>
        <v>0</v>
      </c>
    </row>
    <row r="121" spans="1:16" ht="14.1" customHeight="1" x14ac:dyDescent="0.2">
      <c r="B121" s="7">
        <v>0</v>
      </c>
      <c r="C121" s="7">
        <v>0</v>
      </c>
      <c r="D121" s="7">
        <v>0</v>
      </c>
      <c r="E121" s="96">
        <v>10</v>
      </c>
      <c r="F121" s="37">
        <f>(B121*100)*C121*E121</f>
        <v>0</v>
      </c>
      <c r="G121" s="37">
        <v>38</v>
      </c>
      <c r="H121" s="41">
        <f t="shared" si="42"/>
        <v>0</v>
      </c>
      <c r="I121" s="174">
        <v>8</v>
      </c>
      <c r="J121" s="40">
        <f>$J$119</f>
        <v>0</v>
      </c>
      <c r="K121" s="174">
        <f>I121*(1-J121)</f>
        <v>8</v>
      </c>
      <c r="L121" s="37">
        <f t="shared" si="43"/>
        <v>0</v>
      </c>
      <c r="M121" s="175">
        <f>$M$119</f>
        <v>0</v>
      </c>
      <c r="N121" s="97">
        <f>$N$119</f>
        <v>0</v>
      </c>
      <c r="O121" s="174">
        <f t="shared" si="44"/>
        <v>0</v>
      </c>
      <c r="P121" s="174">
        <f t="shared" si="45"/>
        <v>0</v>
      </c>
    </row>
    <row r="122" spans="1:16" ht="14.1" customHeight="1" x14ac:dyDescent="0.2">
      <c r="N122" s="263" t="s">
        <v>4</v>
      </c>
      <c r="O122" s="265"/>
      <c r="P122" s="167">
        <f>SUM(P119:P121)</f>
        <v>0</v>
      </c>
    </row>
    <row r="123" spans="1:16" ht="14.1" customHeight="1" x14ac:dyDescent="0.2">
      <c r="N123" s="263" t="s">
        <v>16</v>
      </c>
      <c r="O123" s="265"/>
      <c r="P123" s="149">
        <f>SUM(H119:H121)</f>
        <v>0</v>
      </c>
    </row>
    <row r="124" spans="1:16" ht="14.1" customHeight="1" x14ac:dyDescent="0.25">
      <c r="B124" s="277"/>
      <c r="C124" s="277"/>
      <c r="D124" s="277"/>
      <c r="N124" s="263" t="s">
        <v>17</v>
      </c>
      <c r="O124" s="265"/>
      <c r="P124" s="148">
        <f>SUM(L119:L121)</f>
        <v>0</v>
      </c>
    </row>
    <row r="126" spans="1:16" ht="14.1" customHeight="1" x14ac:dyDescent="0.2">
      <c r="A126" s="278" t="s">
        <v>81</v>
      </c>
      <c r="B126" s="278"/>
      <c r="C126" s="278"/>
    </row>
    <row r="129" ht="13.5" customHeight="1" x14ac:dyDescent="0.2"/>
  </sheetData>
  <sheetProtection algorithmName="SHA-512" hashValue="7+x8VqBo2hrDGpe8oDlr2pp9OKIEBDj+0aWnfdyM5sz9M73ojJOv4DPqwh3+/ZVr32rcBS2cxR4qOtMC1hw55w==" saltValue="SFLGGGttWrqGIWAmm8NbxA==" spinCount="100000" sheet="1" objects="1" scenarios="1"/>
  <dataConsolidate/>
  <mergeCells count="78">
    <mergeCell ref="K73:M73"/>
    <mergeCell ref="M16:M17"/>
    <mergeCell ref="K74:M74"/>
    <mergeCell ref="K75:M75"/>
    <mergeCell ref="K90:M90"/>
    <mergeCell ref="C77:N77"/>
    <mergeCell ref="M12:M13"/>
    <mergeCell ref="I33:L33"/>
    <mergeCell ref="M33:M34"/>
    <mergeCell ref="B17:E17"/>
    <mergeCell ref="B20:E20"/>
    <mergeCell ref="B15:E15"/>
    <mergeCell ref="I14:K15"/>
    <mergeCell ref="B16:E16"/>
    <mergeCell ref="M14:M15"/>
    <mergeCell ref="B14:E14"/>
    <mergeCell ref="J100:M100"/>
    <mergeCell ref="J103:M103"/>
    <mergeCell ref="M106:M108"/>
    <mergeCell ref="E106:E108"/>
    <mergeCell ref="F106:F108"/>
    <mergeCell ref="G106:G108"/>
    <mergeCell ref="I106:L107"/>
    <mergeCell ref="A96:Q96"/>
    <mergeCell ref="D78:D79"/>
    <mergeCell ref="E78:H78"/>
    <mergeCell ref="I78:L78"/>
    <mergeCell ref="M78:M79"/>
    <mergeCell ref="A92:C92"/>
    <mergeCell ref="C78:C79"/>
    <mergeCell ref="N78:N79"/>
    <mergeCell ref="K91:M91"/>
    <mergeCell ref="K92:M92"/>
    <mergeCell ref="K111:L111"/>
    <mergeCell ref="K112:L112"/>
    <mergeCell ref="D105:M105"/>
    <mergeCell ref="H106:H108"/>
    <mergeCell ref="D106:D108"/>
    <mergeCell ref="A126:C126"/>
    <mergeCell ref="P116:P118"/>
    <mergeCell ref="L116:O117"/>
    <mergeCell ref="D116:D118"/>
    <mergeCell ref="B115:P115"/>
    <mergeCell ref="B124:D124"/>
    <mergeCell ref="N124:O124"/>
    <mergeCell ref="B116:B118"/>
    <mergeCell ref="N123:O123"/>
    <mergeCell ref="N122:O122"/>
    <mergeCell ref="C116:C118"/>
    <mergeCell ref="E116:E118"/>
    <mergeCell ref="F116:F118"/>
    <mergeCell ref="G116:G118"/>
    <mergeCell ref="H116:K117"/>
    <mergeCell ref="M61:M62"/>
    <mergeCell ref="A50:Q50"/>
    <mergeCell ref="B21:E21"/>
    <mergeCell ref="C60:N60"/>
    <mergeCell ref="A22:Q22"/>
    <mergeCell ref="C32:N32"/>
    <mergeCell ref="C33:C34"/>
    <mergeCell ref="D33:D34"/>
    <mergeCell ref="E33:H33"/>
    <mergeCell ref="N33:N34"/>
    <mergeCell ref="N61:N62"/>
    <mergeCell ref="C61:C62"/>
    <mergeCell ref="D61:D62"/>
    <mergeCell ref="A47:C47"/>
    <mergeCell ref="K45:M45"/>
    <mergeCell ref="K46:M46"/>
    <mergeCell ref="E61:H61"/>
    <mergeCell ref="I61:L61"/>
    <mergeCell ref="B11:E11"/>
    <mergeCell ref="B13:E13"/>
    <mergeCell ref="H20:I20"/>
    <mergeCell ref="B12:E12"/>
    <mergeCell ref="I16:K17"/>
    <mergeCell ref="I12:K13"/>
    <mergeCell ref="K47:M47"/>
  </mergeCells>
  <hyperlinks>
    <hyperlink ref="H20" location="SYSTEMY!A1" display="MENU GŁÓWNE" xr:uid="{00000000-0004-0000-0600-000000000000}"/>
    <hyperlink ref="B13:E13" location="'5'!A84" display="ALFA FR COAT A" xr:uid="{00000000-0004-0000-0600-000001000000}"/>
    <hyperlink ref="A92:C92" location="'5'!A1" display="POWRÓT DO WYBORU SYSTEMU" xr:uid="{00000000-0004-0000-0600-000003000000}"/>
    <hyperlink ref="A126:C126" location="'5'!A1" display="POWRÓT DO WYBORU SYSTEMU" xr:uid="{00000000-0004-0000-0600-000004000000}"/>
    <hyperlink ref="A47:C47" location="'5'!A1" display="POWRÓT DO WYBORU SYSTEMU" xr:uid="{23FC5619-2693-422E-AC1E-6E37FA2D178D}"/>
    <hyperlink ref="B14:E14" location="'5'!A121" display="ALFAFOAM FR" xr:uid="{974E8267-F22B-42E7-A8A7-82AABCD942D5}"/>
    <hyperlink ref="B12:E12" location="'5'!A48" display="INTU FR EJ SEAL" xr:uid="{61FD65E8-C7D3-402A-95DC-38E7EFBB08A7}"/>
  </hyperlinks>
  <printOptions horizontalCentered="1" verticalCentered="1"/>
  <pageMargins left="0.23622047244094502" right="0.23622047244094502" top="0.74803149606299202" bottom="0.74803149606299202" header="0.31496062992126" footer="0.31496062992126"/>
  <pageSetup paperSize="9" scale="59" fitToHeight="0" orientation="landscape" cellComments="atEnd" r:id="rId1"/>
  <headerFooter>
    <oddFooter>&amp;C&amp;</oddFooter>
  </headerFooter>
  <rowBreaks count="2" manualBreakCount="2">
    <brk id="49" max="16" man="1"/>
    <brk id="95" max="1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10">
    <tabColor theme="1" tint="0.34998626667073579"/>
  </sheetPr>
  <dimension ref="A1:AC343"/>
  <sheetViews>
    <sheetView showGridLines="0" zoomScale="85" zoomScaleNormal="85" zoomScaleSheetLayoutView="85" workbookViewId="0">
      <selection activeCell="A9" sqref="A9"/>
    </sheetView>
  </sheetViews>
  <sheetFormatPr defaultColWidth="0" defaultRowHeight="14.1" customHeight="1" x14ac:dyDescent="0.2"/>
  <cols>
    <col min="1" max="1" width="8.7109375" style="25" customWidth="1"/>
    <col min="2" max="2" width="12.140625" style="25" customWidth="1"/>
    <col min="3" max="4" width="11.42578125" style="25" customWidth="1"/>
    <col min="5" max="5" width="16.7109375" style="25" customWidth="1"/>
    <col min="6" max="6" width="11.7109375" style="25" customWidth="1"/>
    <col min="7" max="7" width="19" style="25" customWidth="1"/>
    <col min="8" max="10" width="10.42578125" style="25" customWidth="1"/>
    <col min="11" max="11" width="19.28515625" style="25" customWidth="1"/>
    <col min="12" max="14" width="8.7109375" style="25" customWidth="1"/>
    <col min="15" max="29" width="0" style="25" hidden="1" customWidth="1"/>
    <col min="30" max="16384" width="9.140625" style="25" hidden="1"/>
  </cols>
  <sheetData>
    <row r="1" spans="1:13" ht="14.1" customHeight="1" x14ac:dyDescent="0.2">
      <c r="A1" s="21"/>
      <c r="B1" s="22"/>
      <c r="C1" s="23"/>
      <c r="D1" s="23"/>
      <c r="E1" s="23"/>
      <c r="F1" s="23"/>
      <c r="G1" s="23"/>
      <c r="H1" s="24"/>
      <c r="I1" s="24"/>
      <c r="J1" s="24"/>
      <c r="K1" s="21"/>
    </row>
    <row r="2" spans="1:13" ht="14.1" customHeight="1" x14ac:dyDescent="0.2">
      <c r="A2" s="136"/>
      <c r="B2" s="22"/>
      <c r="C2" s="135"/>
      <c r="D2" s="135"/>
      <c r="E2" s="135"/>
      <c r="F2" s="135"/>
      <c r="G2" s="135"/>
      <c r="H2" s="24"/>
      <c r="I2" s="24"/>
      <c r="J2" s="24"/>
      <c r="K2" s="136"/>
    </row>
    <row r="3" spans="1:13" ht="14.1" customHeight="1" x14ac:dyDescent="0.2">
      <c r="A3" s="136"/>
      <c r="B3" s="22"/>
      <c r="C3" s="135"/>
      <c r="D3" s="135"/>
      <c r="E3" s="135"/>
      <c r="F3" s="135"/>
      <c r="G3" s="135"/>
      <c r="H3" s="24"/>
      <c r="I3" s="24"/>
      <c r="J3" s="24"/>
      <c r="K3" s="136"/>
    </row>
    <row r="4" spans="1:13" ht="14.1" customHeight="1" x14ac:dyDescent="0.2">
      <c r="A4" s="21"/>
      <c r="B4" s="22"/>
      <c r="C4" s="23"/>
      <c r="D4" s="23"/>
      <c r="E4" s="23"/>
      <c r="F4" s="23"/>
      <c r="G4" s="23"/>
      <c r="H4" s="24"/>
      <c r="I4" s="24"/>
      <c r="J4" s="24"/>
      <c r="K4" s="21"/>
    </row>
    <row r="5" spans="1:13" ht="14.1" customHeight="1" x14ac:dyDescent="0.2">
      <c r="A5" s="21"/>
      <c r="B5" s="22"/>
      <c r="C5" s="23"/>
      <c r="D5" s="23"/>
      <c r="E5" s="23"/>
      <c r="F5" s="23"/>
      <c r="G5" s="23"/>
      <c r="H5" s="24"/>
      <c r="I5" s="24"/>
      <c r="J5" s="24"/>
      <c r="K5" s="21"/>
    </row>
    <row r="6" spans="1:13" ht="14.1" customHeight="1" x14ac:dyDescent="0.2">
      <c r="A6" s="21"/>
      <c r="B6" s="22"/>
      <c r="C6" s="23"/>
      <c r="D6" s="23"/>
      <c r="E6" s="23"/>
      <c r="F6" s="23"/>
      <c r="G6" s="23"/>
      <c r="H6" s="24"/>
      <c r="I6" s="24"/>
      <c r="J6" s="24"/>
      <c r="K6" s="21"/>
    </row>
    <row r="7" spans="1:13" ht="14.1" customHeight="1" x14ac:dyDescent="0.2">
      <c r="A7" s="21"/>
      <c r="B7" s="22"/>
      <c r="C7" s="23"/>
      <c r="D7" s="23"/>
      <c r="E7" s="23"/>
      <c r="F7" s="23"/>
      <c r="G7" s="23"/>
      <c r="H7" s="24"/>
      <c r="I7" s="24"/>
      <c r="J7" s="24"/>
      <c r="K7" s="21"/>
    </row>
    <row r="8" spans="1:13" ht="14.1" customHeight="1" x14ac:dyDescent="0.2">
      <c r="A8" s="21"/>
      <c r="B8" s="22"/>
      <c r="C8" s="23"/>
      <c r="D8" s="23"/>
      <c r="E8" s="23"/>
      <c r="F8" s="23"/>
      <c r="G8" s="23"/>
      <c r="H8" s="24"/>
      <c r="I8" s="24"/>
      <c r="J8" s="24"/>
      <c r="K8" s="21"/>
    </row>
    <row r="9" spans="1:13" s="76" customFormat="1" ht="17.25" customHeight="1" x14ac:dyDescent="0.25">
      <c r="A9" s="23"/>
      <c r="B9" s="22"/>
      <c r="C9" s="23"/>
      <c r="D9" s="23"/>
      <c r="E9" s="23"/>
      <c r="F9" s="23"/>
      <c r="G9" s="23"/>
      <c r="H9" s="22"/>
      <c r="I9" s="22"/>
      <c r="J9" s="22"/>
      <c r="K9" s="23"/>
    </row>
    <row r="10" spans="1:13" s="76" customFormat="1" ht="17.25" customHeight="1" x14ac:dyDescent="0.25">
      <c r="A10" s="23"/>
      <c r="B10" s="22"/>
      <c r="C10" s="23"/>
      <c r="D10" s="23"/>
      <c r="E10" s="23"/>
      <c r="F10" s="23"/>
      <c r="G10" s="23"/>
      <c r="H10" s="22"/>
      <c r="I10" s="22"/>
      <c r="J10" s="22"/>
      <c r="K10" s="23"/>
    </row>
    <row r="11" spans="1:13" s="76" customFormat="1" ht="17.25" customHeight="1" x14ac:dyDescent="0.25">
      <c r="A11" s="23"/>
      <c r="B11" s="22"/>
      <c r="C11" s="23"/>
      <c r="D11" s="23"/>
      <c r="E11" s="23"/>
      <c r="F11" s="23"/>
      <c r="G11" s="23"/>
      <c r="H11" s="22"/>
      <c r="I11" s="22"/>
      <c r="J11" s="22"/>
      <c r="K11" s="23"/>
    </row>
    <row r="12" spans="1:13" s="76" customFormat="1" ht="18.75" customHeight="1" x14ac:dyDescent="0.25">
      <c r="A12" s="23"/>
      <c r="B12" s="307" t="s">
        <v>72</v>
      </c>
      <c r="C12" s="307"/>
      <c r="D12" s="307"/>
      <c r="E12" s="307"/>
      <c r="K12" s="142" t="s">
        <v>74</v>
      </c>
      <c r="L12" s="322" t="s">
        <v>75</v>
      </c>
      <c r="M12" s="323"/>
    </row>
    <row r="13" spans="1:13" s="76" customFormat="1" ht="15.75" customHeight="1" x14ac:dyDescent="0.25">
      <c r="A13" s="92"/>
      <c r="B13" s="326" t="s">
        <v>244</v>
      </c>
      <c r="C13" s="326"/>
      <c r="D13" s="326"/>
      <c r="E13" s="326"/>
      <c r="G13" s="274" t="s">
        <v>244</v>
      </c>
      <c r="H13" s="274"/>
      <c r="I13" s="274"/>
      <c r="J13" s="274"/>
      <c r="K13" s="78">
        <f>K116</f>
        <v>0</v>
      </c>
      <c r="L13" s="324">
        <f>(SUMPRODUCT(B37:B114,G37:G114)+SUMPRODUCT(B123:B147,G123:G147)+SUMPRODUCT(B156:B233,G156:G233))</f>
        <v>0</v>
      </c>
      <c r="M13" s="325"/>
    </row>
    <row r="14" spans="1:13" s="76" customFormat="1" ht="15.75" customHeight="1" x14ac:dyDescent="0.25">
      <c r="A14" s="92"/>
      <c r="B14" s="326" t="s">
        <v>245</v>
      </c>
      <c r="C14" s="326"/>
      <c r="D14" s="326"/>
      <c r="E14" s="326"/>
      <c r="G14" s="274" t="s">
        <v>245</v>
      </c>
      <c r="H14" s="274"/>
      <c r="I14" s="274"/>
      <c r="J14" s="274"/>
      <c r="K14" s="78">
        <f>K149</f>
        <v>0</v>
      </c>
      <c r="L14" s="324"/>
      <c r="M14" s="325"/>
    </row>
    <row r="15" spans="1:13" s="76" customFormat="1" ht="15.75" customHeight="1" x14ac:dyDescent="0.25">
      <c r="A15" s="92"/>
      <c r="B15" s="326" t="s">
        <v>246</v>
      </c>
      <c r="C15" s="326"/>
      <c r="D15" s="326"/>
      <c r="E15" s="326"/>
      <c r="G15" s="274" t="s">
        <v>246</v>
      </c>
      <c r="H15" s="274"/>
      <c r="I15" s="274"/>
      <c r="J15" s="274"/>
      <c r="K15" s="78">
        <f>K235</f>
        <v>0</v>
      </c>
      <c r="L15" s="324"/>
      <c r="M15" s="325"/>
    </row>
    <row r="16" spans="1:13" s="76" customFormat="1" ht="15.75" customHeight="1" x14ac:dyDescent="0.25">
      <c r="A16" s="92"/>
      <c r="B16" s="326" t="s">
        <v>247</v>
      </c>
      <c r="C16" s="326"/>
      <c r="D16" s="326"/>
      <c r="E16" s="326"/>
      <c r="G16" s="274" t="s">
        <v>247</v>
      </c>
      <c r="H16" s="274"/>
      <c r="I16" s="274"/>
      <c r="J16" s="274"/>
      <c r="K16" s="78">
        <f>SUM(B247:B257)</f>
        <v>0</v>
      </c>
      <c r="L16" s="324">
        <f>(SUMPRODUCT(B247:B257,G247:G257)+SUMPRODUCT(B259:B269,G259:G269))</f>
        <v>0</v>
      </c>
      <c r="M16" s="325"/>
    </row>
    <row r="17" spans="1:14" s="76" customFormat="1" ht="15.75" customHeight="1" x14ac:dyDescent="0.25">
      <c r="A17" s="92"/>
      <c r="B17" s="326" t="s">
        <v>248</v>
      </c>
      <c r="C17" s="326"/>
      <c r="D17" s="326"/>
      <c r="E17" s="326"/>
      <c r="G17" s="274" t="s">
        <v>248</v>
      </c>
      <c r="H17" s="274"/>
      <c r="I17" s="274"/>
      <c r="J17" s="274"/>
      <c r="K17" s="78">
        <f>SUM(B259:B269)</f>
        <v>0</v>
      </c>
      <c r="L17" s="324"/>
      <c r="M17" s="325"/>
    </row>
    <row r="18" spans="1:14" s="76" customFormat="1" ht="15.75" customHeight="1" x14ac:dyDescent="0.25">
      <c r="A18" s="92"/>
      <c r="B18" s="326" t="s">
        <v>62</v>
      </c>
      <c r="C18" s="326"/>
      <c r="D18" s="326"/>
      <c r="E18" s="326"/>
      <c r="G18" s="327" t="s">
        <v>62</v>
      </c>
      <c r="H18" s="327"/>
      <c r="I18" s="327"/>
      <c r="J18" s="327"/>
      <c r="K18" s="78">
        <f>K338</f>
        <v>0</v>
      </c>
      <c r="L18" s="324">
        <f>K337</f>
        <v>0</v>
      </c>
      <c r="M18" s="325"/>
    </row>
    <row r="19" spans="1:14" s="76" customFormat="1" ht="15.75" customHeight="1" x14ac:dyDescent="0.25">
      <c r="A19" s="92"/>
      <c r="B19" s="330"/>
      <c r="C19" s="330"/>
      <c r="D19" s="330"/>
      <c r="E19" s="330"/>
      <c r="G19" s="274" t="s">
        <v>54</v>
      </c>
      <c r="H19" s="274"/>
      <c r="I19" s="274"/>
      <c r="J19" s="274"/>
      <c r="K19" s="28">
        <f>K117+K150+K236+K272</f>
        <v>0</v>
      </c>
      <c r="L19" s="324">
        <f>SUM(J37:J114,J123:J147,J156:J233,J247:J257,J259:J269)</f>
        <v>0</v>
      </c>
      <c r="M19" s="325"/>
    </row>
    <row r="20" spans="1:14" s="76" customFormat="1" ht="15.75" customHeight="1" x14ac:dyDescent="0.25">
      <c r="A20" s="92"/>
      <c r="B20" s="310"/>
      <c r="C20" s="310"/>
      <c r="D20" s="310"/>
      <c r="E20" s="310"/>
      <c r="K20" s="143" t="s">
        <v>86</v>
      </c>
      <c r="L20" s="328">
        <f>SUM(L13:M19)</f>
        <v>0</v>
      </c>
      <c r="M20" s="329"/>
    </row>
    <row r="21" spans="1:14" s="76" customFormat="1" ht="18.75" customHeight="1" x14ac:dyDescent="0.25">
      <c r="A21" s="92"/>
      <c r="B21" s="30"/>
      <c r="C21" s="30"/>
      <c r="D21" s="30"/>
      <c r="E21" s="30"/>
    </row>
    <row r="22" spans="1:14" s="76" customFormat="1" ht="18.75" customHeight="1" x14ac:dyDescent="0.25">
      <c r="A22" s="92"/>
      <c r="B22" s="30"/>
      <c r="C22" s="30"/>
      <c r="D22" s="30"/>
      <c r="E22" s="30"/>
    </row>
    <row r="23" spans="1:14" s="76" customFormat="1" ht="18.75" customHeight="1" x14ac:dyDescent="0.25">
      <c r="A23" s="92"/>
      <c r="B23" s="30"/>
      <c r="C23" s="30"/>
      <c r="D23" s="30"/>
      <c r="E23" s="30"/>
    </row>
    <row r="24" spans="1:14" s="76" customFormat="1" ht="18.75" customHeight="1" x14ac:dyDescent="0.25">
      <c r="A24" s="92"/>
      <c r="B24" s="310"/>
      <c r="C24" s="310"/>
      <c r="D24" s="310"/>
      <c r="E24" s="310"/>
      <c r="F24" s="309" t="s">
        <v>73</v>
      </c>
      <c r="G24" s="309"/>
      <c r="H24" s="98"/>
      <c r="I24" s="98"/>
      <c r="J24" s="98"/>
    </row>
    <row r="25" spans="1:14" s="76" customFormat="1" ht="18.75" customHeight="1" x14ac:dyDescent="0.25">
      <c r="A25" s="92"/>
      <c r="B25" s="310"/>
      <c r="C25" s="310"/>
      <c r="D25" s="310"/>
      <c r="E25" s="310"/>
    </row>
    <row r="27" spans="1:14" ht="30" customHeight="1" x14ac:dyDescent="0.2">
      <c r="A27" s="224" t="s">
        <v>249</v>
      </c>
      <c r="B27" s="224"/>
      <c r="C27" s="224"/>
      <c r="D27" s="224"/>
      <c r="E27" s="224"/>
      <c r="F27" s="224"/>
      <c r="G27" s="224"/>
      <c r="H27" s="224"/>
      <c r="I27" s="224"/>
      <c r="J27" s="224"/>
      <c r="K27" s="224"/>
      <c r="L27" s="224"/>
      <c r="M27" s="224"/>
      <c r="N27" s="224"/>
    </row>
    <row r="29" spans="1:14" ht="14.1" customHeight="1" x14ac:dyDescent="0.2">
      <c r="I29" s="225" t="s">
        <v>253</v>
      </c>
      <c r="J29" s="225"/>
      <c r="K29" s="225"/>
      <c r="L29" s="225"/>
    </row>
    <row r="30" spans="1:14" ht="14.1" customHeight="1" x14ac:dyDescent="0.2">
      <c r="I30" s="33" t="s">
        <v>91</v>
      </c>
    </row>
    <row r="31" spans="1:14" ht="14.1" customHeight="1" x14ac:dyDescent="0.2">
      <c r="I31" s="33" t="s">
        <v>92</v>
      </c>
    </row>
    <row r="32" spans="1:14" ht="14.1" customHeight="1" x14ac:dyDescent="0.2">
      <c r="I32" s="33"/>
    </row>
    <row r="34" spans="2:11" ht="21" customHeight="1" x14ac:dyDescent="0.2">
      <c r="B34" s="227" t="s">
        <v>250</v>
      </c>
      <c r="C34" s="227"/>
      <c r="D34" s="227"/>
      <c r="E34" s="227"/>
      <c r="F34" s="227"/>
      <c r="G34" s="227"/>
      <c r="H34" s="227"/>
      <c r="I34" s="227"/>
      <c r="J34" s="227"/>
      <c r="K34" s="144" t="s">
        <v>48</v>
      </c>
    </row>
    <row r="35" spans="2:11" ht="21.75" customHeight="1" x14ac:dyDescent="0.2">
      <c r="B35" s="228" t="s">
        <v>255</v>
      </c>
      <c r="C35" s="230" t="s">
        <v>256</v>
      </c>
      <c r="D35" s="230"/>
      <c r="E35" s="228" t="s">
        <v>106</v>
      </c>
      <c r="F35" s="228" t="s">
        <v>254</v>
      </c>
      <c r="G35" s="228" t="s">
        <v>259</v>
      </c>
      <c r="H35" s="228" t="s">
        <v>61</v>
      </c>
      <c r="I35" s="228"/>
      <c r="J35" s="228"/>
      <c r="K35" s="228" t="s">
        <v>260</v>
      </c>
    </row>
    <row r="36" spans="2:11" ht="21.75" customHeight="1" x14ac:dyDescent="0.2">
      <c r="B36" s="230"/>
      <c r="C36" s="145" t="s">
        <v>257</v>
      </c>
      <c r="D36" s="145" t="s">
        <v>258</v>
      </c>
      <c r="E36" s="228"/>
      <c r="F36" s="230"/>
      <c r="G36" s="228"/>
      <c r="H36" s="139" t="s">
        <v>0</v>
      </c>
      <c r="I36" s="139" t="s">
        <v>2</v>
      </c>
      <c r="J36" s="139" t="s">
        <v>3</v>
      </c>
      <c r="K36" s="228"/>
    </row>
    <row r="37" spans="2:11" ht="14.1" customHeight="1" x14ac:dyDescent="0.2">
      <c r="B37" s="8"/>
      <c r="C37" s="44">
        <v>100</v>
      </c>
      <c r="D37" s="44">
        <v>100</v>
      </c>
      <c r="E37" s="166">
        <v>12.65</v>
      </c>
      <c r="F37" s="9">
        <v>0</v>
      </c>
      <c r="G37" s="166">
        <f t="shared" ref="G37:G68" si="0">E37-(E37*F37)</f>
        <v>12.65</v>
      </c>
      <c r="H37" s="99">
        <v>0.32</v>
      </c>
      <c r="I37" s="6">
        <v>0</v>
      </c>
      <c r="J37" s="166">
        <f>(2.4-(2.4*I37))*H37*B37</f>
        <v>0</v>
      </c>
      <c r="K37" s="166">
        <f>(B37*G37)+J37</f>
        <v>0</v>
      </c>
    </row>
    <row r="38" spans="2:11" ht="14.1" customHeight="1" x14ac:dyDescent="0.2">
      <c r="B38" s="8"/>
      <c r="C38" s="331">
        <v>150</v>
      </c>
      <c r="D38" s="44">
        <v>100</v>
      </c>
      <c r="E38" s="166">
        <v>13.57</v>
      </c>
      <c r="F38" s="38">
        <f t="shared" ref="F38:F69" si="1">$F$37</f>
        <v>0</v>
      </c>
      <c r="G38" s="166">
        <f t="shared" si="0"/>
        <v>13.57</v>
      </c>
      <c r="H38" s="44">
        <v>0.4</v>
      </c>
      <c r="I38" s="40">
        <f>$I$37</f>
        <v>0</v>
      </c>
      <c r="J38" s="166">
        <f t="shared" ref="J38:J101" si="2">(2.4-(2.4*I38))*H38*B38</f>
        <v>0</v>
      </c>
      <c r="K38" s="166">
        <f t="shared" ref="K38:K101" si="3">(B38*G38)+J38</f>
        <v>0</v>
      </c>
    </row>
    <row r="39" spans="2:11" ht="14.1" customHeight="1" x14ac:dyDescent="0.2">
      <c r="B39" s="8"/>
      <c r="C39" s="331"/>
      <c r="D39" s="44">
        <v>150</v>
      </c>
      <c r="E39" s="166">
        <v>16</v>
      </c>
      <c r="F39" s="38">
        <f t="shared" si="1"/>
        <v>0</v>
      </c>
      <c r="G39" s="166">
        <f t="shared" si="0"/>
        <v>16</v>
      </c>
      <c r="H39" s="44">
        <v>0.24</v>
      </c>
      <c r="I39" s="40">
        <f t="shared" ref="I39:I102" si="4">$I$37</f>
        <v>0</v>
      </c>
      <c r="J39" s="166">
        <f t="shared" si="2"/>
        <v>0</v>
      </c>
      <c r="K39" s="166">
        <f t="shared" si="3"/>
        <v>0</v>
      </c>
    </row>
    <row r="40" spans="2:11" ht="14.1" customHeight="1" x14ac:dyDescent="0.2">
      <c r="B40" s="8"/>
      <c r="C40" s="331">
        <v>200</v>
      </c>
      <c r="D40" s="44">
        <v>100</v>
      </c>
      <c r="E40" s="166">
        <v>15.19</v>
      </c>
      <c r="F40" s="38">
        <f t="shared" si="1"/>
        <v>0</v>
      </c>
      <c r="G40" s="166">
        <f t="shared" si="0"/>
        <v>15.19</v>
      </c>
      <c r="H40" s="44">
        <v>0.48</v>
      </c>
      <c r="I40" s="40">
        <f t="shared" si="4"/>
        <v>0</v>
      </c>
      <c r="J40" s="166">
        <f t="shared" si="2"/>
        <v>0</v>
      </c>
      <c r="K40" s="166">
        <f t="shared" si="3"/>
        <v>0</v>
      </c>
    </row>
    <row r="41" spans="2:11" ht="14.1" customHeight="1" x14ac:dyDescent="0.2">
      <c r="B41" s="8"/>
      <c r="C41" s="331"/>
      <c r="D41" s="44">
        <v>150</v>
      </c>
      <c r="E41" s="166">
        <v>18.190000000000001</v>
      </c>
      <c r="F41" s="38">
        <f t="shared" si="1"/>
        <v>0</v>
      </c>
      <c r="G41" s="166">
        <f t="shared" si="0"/>
        <v>18.190000000000001</v>
      </c>
      <c r="H41" s="44">
        <v>0.24</v>
      </c>
      <c r="I41" s="40">
        <f t="shared" si="4"/>
        <v>0</v>
      </c>
      <c r="J41" s="166">
        <f t="shared" si="2"/>
        <v>0</v>
      </c>
      <c r="K41" s="166">
        <f t="shared" si="3"/>
        <v>0</v>
      </c>
    </row>
    <row r="42" spans="2:11" ht="14.1" customHeight="1" x14ac:dyDescent="0.2">
      <c r="B42" s="8"/>
      <c r="C42" s="331"/>
      <c r="D42" s="44">
        <v>200</v>
      </c>
      <c r="E42" s="166">
        <v>24.19</v>
      </c>
      <c r="F42" s="38">
        <f t="shared" si="1"/>
        <v>0</v>
      </c>
      <c r="G42" s="166">
        <f t="shared" si="0"/>
        <v>24.19</v>
      </c>
      <c r="H42" s="44">
        <v>0.32</v>
      </c>
      <c r="I42" s="40">
        <f t="shared" si="4"/>
        <v>0</v>
      </c>
      <c r="J42" s="166">
        <f t="shared" si="2"/>
        <v>0</v>
      </c>
      <c r="K42" s="166">
        <f t="shared" si="3"/>
        <v>0</v>
      </c>
    </row>
    <row r="43" spans="2:11" ht="14.1" customHeight="1" x14ac:dyDescent="0.2">
      <c r="B43" s="8"/>
      <c r="C43" s="331">
        <v>225</v>
      </c>
      <c r="D43" s="44">
        <v>100</v>
      </c>
      <c r="E43" s="166">
        <v>16.399999999999999</v>
      </c>
      <c r="F43" s="38">
        <f t="shared" si="1"/>
        <v>0</v>
      </c>
      <c r="G43" s="166">
        <f t="shared" si="0"/>
        <v>16.399999999999999</v>
      </c>
      <c r="H43" s="44">
        <v>0.52</v>
      </c>
      <c r="I43" s="40">
        <f t="shared" si="4"/>
        <v>0</v>
      </c>
      <c r="J43" s="166">
        <f t="shared" si="2"/>
        <v>0</v>
      </c>
      <c r="K43" s="166">
        <f t="shared" si="3"/>
        <v>0</v>
      </c>
    </row>
    <row r="44" spans="2:11" ht="14.1" customHeight="1" x14ac:dyDescent="0.2">
      <c r="B44" s="8"/>
      <c r="C44" s="331"/>
      <c r="D44" s="44">
        <v>150</v>
      </c>
      <c r="E44" s="166">
        <v>19.059999999999999</v>
      </c>
      <c r="F44" s="38">
        <f t="shared" si="1"/>
        <v>0</v>
      </c>
      <c r="G44" s="166">
        <f t="shared" si="0"/>
        <v>19.059999999999999</v>
      </c>
      <c r="H44" s="44">
        <v>0.24</v>
      </c>
      <c r="I44" s="40">
        <f t="shared" si="4"/>
        <v>0</v>
      </c>
      <c r="J44" s="166">
        <f t="shared" si="2"/>
        <v>0</v>
      </c>
      <c r="K44" s="166">
        <f t="shared" si="3"/>
        <v>0</v>
      </c>
    </row>
    <row r="45" spans="2:11" ht="14.1" customHeight="1" x14ac:dyDescent="0.2">
      <c r="B45" s="8"/>
      <c r="C45" s="331"/>
      <c r="D45" s="44">
        <v>200</v>
      </c>
      <c r="E45" s="166">
        <v>25.47</v>
      </c>
      <c r="F45" s="38">
        <f t="shared" si="1"/>
        <v>0</v>
      </c>
      <c r="G45" s="166">
        <f t="shared" si="0"/>
        <v>25.47</v>
      </c>
      <c r="H45" s="44">
        <v>0.32</v>
      </c>
      <c r="I45" s="40">
        <f t="shared" si="4"/>
        <v>0</v>
      </c>
      <c r="J45" s="166">
        <f t="shared" si="2"/>
        <v>0</v>
      </c>
      <c r="K45" s="166">
        <f t="shared" si="3"/>
        <v>0</v>
      </c>
    </row>
    <row r="46" spans="2:11" ht="14.1" customHeight="1" x14ac:dyDescent="0.2">
      <c r="B46" s="8"/>
      <c r="C46" s="331"/>
      <c r="D46" s="44">
        <v>225</v>
      </c>
      <c r="E46" s="166">
        <v>25.01</v>
      </c>
      <c r="F46" s="38">
        <f t="shared" si="1"/>
        <v>0</v>
      </c>
      <c r="G46" s="166">
        <f t="shared" si="0"/>
        <v>25.01</v>
      </c>
      <c r="H46" s="44">
        <v>0.36</v>
      </c>
      <c r="I46" s="40">
        <f t="shared" si="4"/>
        <v>0</v>
      </c>
      <c r="J46" s="166">
        <f t="shared" si="2"/>
        <v>0</v>
      </c>
      <c r="K46" s="166">
        <f t="shared" si="3"/>
        <v>0</v>
      </c>
    </row>
    <row r="47" spans="2:11" ht="14.1" customHeight="1" x14ac:dyDescent="0.2">
      <c r="B47" s="8"/>
      <c r="C47" s="331">
        <v>250</v>
      </c>
      <c r="D47" s="44">
        <v>100</v>
      </c>
      <c r="E47" s="166">
        <v>17.21</v>
      </c>
      <c r="F47" s="38">
        <f t="shared" si="1"/>
        <v>0</v>
      </c>
      <c r="G47" s="166">
        <f t="shared" si="0"/>
        <v>17.21</v>
      </c>
      <c r="H47" s="44">
        <v>0.56000000000000005</v>
      </c>
      <c r="I47" s="40">
        <f t="shared" si="4"/>
        <v>0</v>
      </c>
      <c r="J47" s="166">
        <f t="shared" si="2"/>
        <v>0</v>
      </c>
      <c r="K47" s="166">
        <f t="shared" si="3"/>
        <v>0</v>
      </c>
    </row>
    <row r="48" spans="2:11" ht="14.1" customHeight="1" x14ac:dyDescent="0.2">
      <c r="B48" s="8"/>
      <c r="C48" s="331"/>
      <c r="D48" s="44">
        <v>150</v>
      </c>
      <c r="E48" s="166">
        <v>20.73</v>
      </c>
      <c r="F48" s="38">
        <f t="shared" si="1"/>
        <v>0</v>
      </c>
      <c r="G48" s="166">
        <f t="shared" si="0"/>
        <v>20.73</v>
      </c>
      <c r="H48" s="44">
        <v>0.24</v>
      </c>
      <c r="I48" s="40">
        <f t="shared" si="4"/>
        <v>0</v>
      </c>
      <c r="J48" s="166">
        <f t="shared" si="2"/>
        <v>0</v>
      </c>
      <c r="K48" s="166">
        <f t="shared" si="3"/>
        <v>0</v>
      </c>
    </row>
    <row r="49" spans="2:11" ht="14.1" customHeight="1" x14ac:dyDescent="0.2">
      <c r="B49" s="8"/>
      <c r="C49" s="331"/>
      <c r="D49" s="44">
        <v>200</v>
      </c>
      <c r="E49" s="166">
        <v>26.45</v>
      </c>
      <c r="F49" s="38">
        <f t="shared" si="1"/>
        <v>0</v>
      </c>
      <c r="G49" s="166">
        <f t="shared" si="0"/>
        <v>26.45</v>
      </c>
      <c r="H49" s="44">
        <v>0.32</v>
      </c>
      <c r="I49" s="40">
        <f t="shared" si="4"/>
        <v>0</v>
      </c>
      <c r="J49" s="166">
        <f t="shared" si="2"/>
        <v>0</v>
      </c>
      <c r="K49" s="166">
        <f t="shared" si="3"/>
        <v>0</v>
      </c>
    </row>
    <row r="50" spans="2:11" ht="14.1" customHeight="1" x14ac:dyDescent="0.2">
      <c r="B50" s="8"/>
      <c r="C50" s="331"/>
      <c r="D50" s="44">
        <v>225</v>
      </c>
      <c r="E50" s="166">
        <v>26.22</v>
      </c>
      <c r="F50" s="38">
        <f t="shared" si="1"/>
        <v>0</v>
      </c>
      <c r="G50" s="166">
        <f t="shared" si="0"/>
        <v>26.22</v>
      </c>
      <c r="H50" s="44">
        <v>0.36</v>
      </c>
      <c r="I50" s="40">
        <f t="shared" si="4"/>
        <v>0</v>
      </c>
      <c r="J50" s="166">
        <f t="shared" si="2"/>
        <v>0</v>
      </c>
      <c r="K50" s="166">
        <f t="shared" si="3"/>
        <v>0</v>
      </c>
    </row>
    <row r="51" spans="2:11" ht="14.1" customHeight="1" x14ac:dyDescent="0.2">
      <c r="B51" s="8"/>
      <c r="C51" s="331"/>
      <c r="D51" s="44">
        <v>250</v>
      </c>
      <c r="E51" s="166">
        <v>32.17</v>
      </c>
      <c r="F51" s="38">
        <f t="shared" si="1"/>
        <v>0</v>
      </c>
      <c r="G51" s="166">
        <f t="shared" si="0"/>
        <v>32.17</v>
      </c>
      <c r="H51" s="44">
        <v>0.4</v>
      </c>
      <c r="I51" s="40">
        <f t="shared" si="4"/>
        <v>0</v>
      </c>
      <c r="J51" s="166">
        <f t="shared" si="2"/>
        <v>0</v>
      </c>
      <c r="K51" s="166">
        <f t="shared" si="3"/>
        <v>0</v>
      </c>
    </row>
    <row r="52" spans="2:11" ht="14.1" customHeight="1" x14ac:dyDescent="0.2">
      <c r="B52" s="8"/>
      <c r="C52" s="331">
        <v>300</v>
      </c>
      <c r="D52" s="44">
        <v>100</v>
      </c>
      <c r="E52" s="166">
        <v>18.829999999999998</v>
      </c>
      <c r="F52" s="38">
        <f t="shared" si="1"/>
        <v>0</v>
      </c>
      <c r="G52" s="166">
        <f t="shared" si="0"/>
        <v>18.829999999999998</v>
      </c>
      <c r="H52" s="44">
        <v>0.65</v>
      </c>
      <c r="I52" s="40">
        <f t="shared" si="4"/>
        <v>0</v>
      </c>
      <c r="J52" s="166">
        <f t="shared" si="2"/>
        <v>0</v>
      </c>
      <c r="K52" s="166">
        <f t="shared" si="3"/>
        <v>0</v>
      </c>
    </row>
    <row r="53" spans="2:11" ht="14.1" customHeight="1" x14ac:dyDescent="0.2">
      <c r="B53" s="8"/>
      <c r="C53" s="331"/>
      <c r="D53" s="44">
        <v>150</v>
      </c>
      <c r="E53" s="166">
        <v>22.46</v>
      </c>
      <c r="F53" s="38">
        <f t="shared" si="1"/>
        <v>0</v>
      </c>
      <c r="G53" s="166">
        <f t="shared" si="0"/>
        <v>22.46</v>
      </c>
      <c r="H53" s="44">
        <v>0.24</v>
      </c>
      <c r="I53" s="40">
        <f t="shared" si="4"/>
        <v>0</v>
      </c>
      <c r="J53" s="166">
        <f t="shared" si="2"/>
        <v>0</v>
      </c>
      <c r="K53" s="166">
        <f t="shared" si="3"/>
        <v>0</v>
      </c>
    </row>
    <row r="54" spans="2:11" ht="14.1" customHeight="1" x14ac:dyDescent="0.2">
      <c r="B54" s="8"/>
      <c r="C54" s="331"/>
      <c r="D54" s="44">
        <v>200</v>
      </c>
      <c r="E54" s="166">
        <v>30.32</v>
      </c>
      <c r="F54" s="38">
        <f t="shared" si="1"/>
        <v>0</v>
      </c>
      <c r="G54" s="166">
        <f t="shared" si="0"/>
        <v>30.32</v>
      </c>
      <c r="H54" s="44">
        <v>0.32</v>
      </c>
      <c r="I54" s="40">
        <f t="shared" si="4"/>
        <v>0</v>
      </c>
      <c r="J54" s="166">
        <f t="shared" si="2"/>
        <v>0</v>
      </c>
      <c r="K54" s="166">
        <f t="shared" si="3"/>
        <v>0</v>
      </c>
    </row>
    <row r="55" spans="2:11" ht="14.1" customHeight="1" x14ac:dyDescent="0.2">
      <c r="B55" s="8"/>
      <c r="C55" s="331"/>
      <c r="D55" s="44">
        <v>225</v>
      </c>
      <c r="E55" s="166">
        <v>27.55</v>
      </c>
      <c r="F55" s="38">
        <f t="shared" si="1"/>
        <v>0</v>
      </c>
      <c r="G55" s="166">
        <f t="shared" si="0"/>
        <v>27.55</v>
      </c>
      <c r="H55" s="44">
        <v>0.36</v>
      </c>
      <c r="I55" s="40">
        <f t="shared" si="4"/>
        <v>0</v>
      </c>
      <c r="J55" s="166">
        <f t="shared" si="2"/>
        <v>0</v>
      </c>
      <c r="K55" s="166">
        <f t="shared" si="3"/>
        <v>0</v>
      </c>
    </row>
    <row r="56" spans="2:11" ht="14.1" customHeight="1" x14ac:dyDescent="0.2">
      <c r="B56" s="8"/>
      <c r="C56" s="331"/>
      <c r="D56" s="44">
        <v>250</v>
      </c>
      <c r="E56" s="166">
        <v>33.380000000000003</v>
      </c>
      <c r="F56" s="38">
        <f t="shared" si="1"/>
        <v>0</v>
      </c>
      <c r="G56" s="166">
        <f t="shared" si="0"/>
        <v>33.380000000000003</v>
      </c>
      <c r="H56" s="44">
        <v>0.4</v>
      </c>
      <c r="I56" s="40">
        <f t="shared" si="4"/>
        <v>0</v>
      </c>
      <c r="J56" s="166">
        <f t="shared" si="2"/>
        <v>0</v>
      </c>
      <c r="K56" s="166">
        <f t="shared" si="3"/>
        <v>0</v>
      </c>
    </row>
    <row r="57" spans="2:11" ht="14.1" customHeight="1" x14ac:dyDescent="0.2">
      <c r="B57" s="8"/>
      <c r="C57" s="331"/>
      <c r="D57" s="44">
        <v>300</v>
      </c>
      <c r="E57" s="166">
        <v>40.43</v>
      </c>
      <c r="F57" s="38">
        <f t="shared" si="1"/>
        <v>0</v>
      </c>
      <c r="G57" s="166">
        <f t="shared" si="0"/>
        <v>40.43</v>
      </c>
      <c r="H57" s="44">
        <v>0.48</v>
      </c>
      <c r="I57" s="40">
        <f t="shared" si="4"/>
        <v>0</v>
      </c>
      <c r="J57" s="166">
        <f t="shared" si="2"/>
        <v>0</v>
      </c>
      <c r="K57" s="166">
        <f t="shared" si="3"/>
        <v>0</v>
      </c>
    </row>
    <row r="58" spans="2:11" ht="14.1" customHeight="1" x14ac:dyDescent="0.2">
      <c r="B58" s="8"/>
      <c r="C58" s="331">
        <v>350</v>
      </c>
      <c r="D58" s="44">
        <v>100</v>
      </c>
      <c r="E58" s="166">
        <v>24.02</v>
      </c>
      <c r="F58" s="38">
        <f t="shared" si="1"/>
        <v>0</v>
      </c>
      <c r="G58" s="166">
        <f t="shared" si="0"/>
        <v>24.02</v>
      </c>
      <c r="H58" s="44">
        <v>0.73</v>
      </c>
      <c r="I58" s="40">
        <f t="shared" si="4"/>
        <v>0</v>
      </c>
      <c r="J58" s="166">
        <f t="shared" si="2"/>
        <v>0</v>
      </c>
      <c r="K58" s="166">
        <f t="shared" si="3"/>
        <v>0</v>
      </c>
    </row>
    <row r="59" spans="2:11" ht="14.1" customHeight="1" x14ac:dyDescent="0.2">
      <c r="B59" s="8"/>
      <c r="C59" s="331"/>
      <c r="D59" s="44">
        <v>150</v>
      </c>
      <c r="E59" s="166">
        <v>28.64</v>
      </c>
      <c r="F59" s="38">
        <f t="shared" si="1"/>
        <v>0</v>
      </c>
      <c r="G59" s="166">
        <f t="shared" si="0"/>
        <v>28.64</v>
      </c>
      <c r="H59" s="44">
        <v>0.24</v>
      </c>
      <c r="I59" s="40">
        <f t="shared" si="4"/>
        <v>0</v>
      </c>
      <c r="J59" s="166">
        <f t="shared" si="2"/>
        <v>0</v>
      </c>
      <c r="K59" s="166">
        <f t="shared" si="3"/>
        <v>0</v>
      </c>
    </row>
    <row r="60" spans="2:11" ht="14.1" customHeight="1" x14ac:dyDescent="0.2">
      <c r="B60" s="8"/>
      <c r="C60" s="331"/>
      <c r="D60" s="44">
        <v>200</v>
      </c>
      <c r="E60" s="166">
        <v>32.74</v>
      </c>
      <c r="F60" s="38">
        <f t="shared" si="1"/>
        <v>0</v>
      </c>
      <c r="G60" s="166">
        <f t="shared" si="0"/>
        <v>32.74</v>
      </c>
      <c r="H60" s="44">
        <v>0.32</v>
      </c>
      <c r="I60" s="40">
        <f t="shared" si="4"/>
        <v>0</v>
      </c>
      <c r="J60" s="166">
        <f t="shared" si="2"/>
        <v>0</v>
      </c>
      <c r="K60" s="166">
        <f t="shared" si="3"/>
        <v>0</v>
      </c>
    </row>
    <row r="61" spans="2:11" ht="14.1" customHeight="1" x14ac:dyDescent="0.2">
      <c r="B61" s="8"/>
      <c r="C61" s="331"/>
      <c r="D61" s="44">
        <v>225</v>
      </c>
      <c r="E61" s="166">
        <v>34.42</v>
      </c>
      <c r="F61" s="38">
        <f t="shared" si="1"/>
        <v>0</v>
      </c>
      <c r="G61" s="166">
        <f t="shared" si="0"/>
        <v>34.42</v>
      </c>
      <c r="H61" s="44">
        <v>0.36</v>
      </c>
      <c r="I61" s="40">
        <f t="shared" si="4"/>
        <v>0</v>
      </c>
      <c r="J61" s="166">
        <f t="shared" si="2"/>
        <v>0</v>
      </c>
      <c r="K61" s="166">
        <f t="shared" si="3"/>
        <v>0</v>
      </c>
    </row>
    <row r="62" spans="2:11" ht="14.1" customHeight="1" x14ac:dyDescent="0.2">
      <c r="B62" s="8"/>
      <c r="C62" s="331"/>
      <c r="D62" s="44">
        <v>250</v>
      </c>
      <c r="E62" s="166">
        <v>36.26</v>
      </c>
      <c r="F62" s="38">
        <f t="shared" si="1"/>
        <v>0</v>
      </c>
      <c r="G62" s="166">
        <f t="shared" si="0"/>
        <v>36.26</v>
      </c>
      <c r="H62" s="44">
        <v>0.4</v>
      </c>
      <c r="I62" s="40">
        <f t="shared" si="4"/>
        <v>0</v>
      </c>
      <c r="J62" s="166">
        <f t="shared" si="2"/>
        <v>0</v>
      </c>
      <c r="K62" s="166">
        <f t="shared" si="3"/>
        <v>0</v>
      </c>
    </row>
    <row r="63" spans="2:11" ht="14.1" customHeight="1" x14ac:dyDescent="0.2">
      <c r="B63" s="8"/>
      <c r="C63" s="331"/>
      <c r="D63" s="44">
        <v>300</v>
      </c>
      <c r="E63" s="166">
        <v>44.29</v>
      </c>
      <c r="F63" s="38">
        <f t="shared" si="1"/>
        <v>0</v>
      </c>
      <c r="G63" s="166">
        <f t="shared" si="0"/>
        <v>44.29</v>
      </c>
      <c r="H63" s="44">
        <v>0.48</v>
      </c>
      <c r="I63" s="40">
        <f t="shared" si="4"/>
        <v>0</v>
      </c>
      <c r="J63" s="166">
        <f t="shared" si="2"/>
        <v>0</v>
      </c>
      <c r="K63" s="166">
        <f t="shared" si="3"/>
        <v>0</v>
      </c>
    </row>
    <row r="64" spans="2:11" ht="14.1" customHeight="1" x14ac:dyDescent="0.2">
      <c r="B64" s="8"/>
      <c r="C64" s="331"/>
      <c r="D64" s="44">
        <v>350</v>
      </c>
      <c r="E64" s="166">
        <v>50.7</v>
      </c>
      <c r="F64" s="38">
        <f t="shared" si="1"/>
        <v>0</v>
      </c>
      <c r="G64" s="166">
        <f t="shared" si="0"/>
        <v>50.7</v>
      </c>
      <c r="H64" s="44">
        <v>0.56000000000000005</v>
      </c>
      <c r="I64" s="40">
        <f t="shared" si="4"/>
        <v>0</v>
      </c>
      <c r="J64" s="166">
        <f t="shared" si="2"/>
        <v>0</v>
      </c>
      <c r="K64" s="166">
        <f t="shared" si="3"/>
        <v>0</v>
      </c>
    </row>
    <row r="65" spans="2:11" ht="14.1" customHeight="1" x14ac:dyDescent="0.2">
      <c r="B65" s="8"/>
      <c r="C65" s="331">
        <v>400</v>
      </c>
      <c r="D65" s="44">
        <v>100</v>
      </c>
      <c r="E65" s="166">
        <v>26.1</v>
      </c>
      <c r="F65" s="38">
        <f t="shared" si="1"/>
        <v>0</v>
      </c>
      <c r="G65" s="166">
        <f t="shared" si="0"/>
        <v>26.1</v>
      </c>
      <c r="H65" s="44">
        <v>0.81</v>
      </c>
      <c r="I65" s="40">
        <f t="shared" si="4"/>
        <v>0</v>
      </c>
      <c r="J65" s="166">
        <f t="shared" si="2"/>
        <v>0</v>
      </c>
      <c r="K65" s="166">
        <f t="shared" si="3"/>
        <v>0</v>
      </c>
    </row>
    <row r="66" spans="2:11" ht="14.1" customHeight="1" x14ac:dyDescent="0.2">
      <c r="B66" s="8"/>
      <c r="C66" s="331"/>
      <c r="D66" s="44">
        <v>150</v>
      </c>
      <c r="E66" s="166">
        <v>31.07</v>
      </c>
      <c r="F66" s="38">
        <f t="shared" si="1"/>
        <v>0</v>
      </c>
      <c r="G66" s="166">
        <f t="shared" si="0"/>
        <v>31.07</v>
      </c>
      <c r="H66" s="44">
        <v>0.24</v>
      </c>
      <c r="I66" s="40">
        <f t="shared" si="4"/>
        <v>0</v>
      </c>
      <c r="J66" s="166">
        <f t="shared" si="2"/>
        <v>0</v>
      </c>
      <c r="K66" s="166">
        <f t="shared" si="3"/>
        <v>0</v>
      </c>
    </row>
    <row r="67" spans="2:11" ht="14.1" customHeight="1" x14ac:dyDescent="0.2">
      <c r="B67" s="8"/>
      <c r="C67" s="331"/>
      <c r="D67" s="44">
        <v>200</v>
      </c>
      <c r="E67" s="166">
        <v>36.5</v>
      </c>
      <c r="F67" s="38">
        <f t="shared" si="1"/>
        <v>0</v>
      </c>
      <c r="G67" s="166">
        <f t="shared" si="0"/>
        <v>36.5</v>
      </c>
      <c r="H67" s="44">
        <v>0.32</v>
      </c>
      <c r="I67" s="40">
        <f t="shared" si="4"/>
        <v>0</v>
      </c>
      <c r="J67" s="166">
        <f t="shared" si="2"/>
        <v>0</v>
      </c>
      <c r="K67" s="166">
        <f t="shared" si="3"/>
        <v>0</v>
      </c>
    </row>
    <row r="68" spans="2:11" ht="14.1" customHeight="1" x14ac:dyDescent="0.2">
      <c r="B68" s="8"/>
      <c r="C68" s="331"/>
      <c r="D68" s="44">
        <v>225</v>
      </c>
      <c r="E68" s="166">
        <v>36.380000000000003</v>
      </c>
      <c r="F68" s="38">
        <f t="shared" si="1"/>
        <v>0</v>
      </c>
      <c r="G68" s="166">
        <f t="shared" si="0"/>
        <v>36.380000000000003</v>
      </c>
      <c r="H68" s="44">
        <v>0.36</v>
      </c>
      <c r="I68" s="40">
        <f t="shared" si="4"/>
        <v>0</v>
      </c>
      <c r="J68" s="166">
        <f t="shared" si="2"/>
        <v>0</v>
      </c>
      <c r="K68" s="166">
        <f t="shared" si="3"/>
        <v>0</v>
      </c>
    </row>
    <row r="69" spans="2:11" ht="14.1" customHeight="1" x14ac:dyDescent="0.2">
      <c r="B69" s="8"/>
      <c r="C69" s="331"/>
      <c r="D69" s="44">
        <v>250</v>
      </c>
      <c r="E69" s="166">
        <v>42.45</v>
      </c>
      <c r="F69" s="38">
        <f t="shared" si="1"/>
        <v>0</v>
      </c>
      <c r="G69" s="166">
        <f t="shared" ref="G69:G100" si="5">E69-(E69*F69)</f>
        <v>42.45</v>
      </c>
      <c r="H69" s="44">
        <v>0.4</v>
      </c>
      <c r="I69" s="40">
        <f t="shared" si="4"/>
        <v>0</v>
      </c>
      <c r="J69" s="166">
        <f t="shared" si="2"/>
        <v>0</v>
      </c>
      <c r="K69" s="166">
        <f t="shared" si="3"/>
        <v>0</v>
      </c>
    </row>
    <row r="70" spans="2:11" ht="14.1" customHeight="1" x14ac:dyDescent="0.2">
      <c r="B70" s="8"/>
      <c r="C70" s="331"/>
      <c r="D70" s="44">
        <v>300</v>
      </c>
      <c r="E70" s="166">
        <v>48.28</v>
      </c>
      <c r="F70" s="38">
        <f t="shared" ref="F70:F101" si="6">$F$37</f>
        <v>0</v>
      </c>
      <c r="G70" s="166">
        <f t="shared" si="5"/>
        <v>48.28</v>
      </c>
      <c r="H70" s="44">
        <v>0.48</v>
      </c>
      <c r="I70" s="40">
        <f t="shared" si="4"/>
        <v>0</v>
      </c>
      <c r="J70" s="166">
        <f t="shared" si="2"/>
        <v>0</v>
      </c>
      <c r="K70" s="166">
        <f t="shared" si="3"/>
        <v>0</v>
      </c>
    </row>
    <row r="71" spans="2:11" ht="14.1" customHeight="1" x14ac:dyDescent="0.2">
      <c r="B71" s="8"/>
      <c r="C71" s="331"/>
      <c r="D71" s="44">
        <v>350</v>
      </c>
      <c r="E71" s="166">
        <v>68.900000000000006</v>
      </c>
      <c r="F71" s="38">
        <f t="shared" si="6"/>
        <v>0</v>
      </c>
      <c r="G71" s="166">
        <f t="shared" si="5"/>
        <v>68.900000000000006</v>
      </c>
      <c r="H71" s="44">
        <v>0.56000000000000005</v>
      </c>
      <c r="I71" s="40">
        <f t="shared" si="4"/>
        <v>0</v>
      </c>
      <c r="J71" s="166">
        <f t="shared" si="2"/>
        <v>0</v>
      </c>
      <c r="K71" s="166">
        <f t="shared" si="3"/>
        <v>0</v>
      </c>
    </row>
    <row r="72" spans="2:11" ht="14.1" customHeight="1" x14ac:dyDescent="0.2">
      <c r="B72" s="8"/>
      <c r="C72" s="331"/>
      <c r="D72" s="44">
        <v>400</v>
      </c>
      <c r="E72" s="166">
        <v>76.92</v>
      </c>
      <c r="F72" s="38">
        <f t="shared" si="6"/>
        <v>0</v>
      </c>
      <c r="G72" s="166">
        <f t="shared" si="5"/>
        <v>76.92</v>
      </c>
      <c r="H72" s="44">
        <v>0.65</v>
      </c>
      <c r="I72" s="40">
        <f t="shared" si="4"/>
        <v>0</v>
      </c>
      <c r="J72" s="166">
        <f t="shared" si="2"/>
        <v>0</v>
      </c>
      <c r="K72" s="166">
        <f t="shared" si="3"/>
        <v>0</v>
      </c>
    </row>
    <row r="73" spans="2:11" ht="14.1" customHeight="1" x14ac:dyDescent="0.2">
      <c r="B73" s="8"/>
      <c r="C73" s="331">
        <v>450</v>
      </c>
      <c r="D73" s="44">
        <v>100</v>
      </c>
      <c r="E73" s="166">
        <v>27.89</v>
      </c>
      <c r="F73" s="38">
        <f t="shared" si="6"/>
        <v>0</v>
      </c>
      <c r="G73" s="166">
        <f t="shared" si="5"/>
        <v>27.89</v>
      </c>
      <c r="H73" s="44">
        <v>0.89</v>
      </c>
      <c r="I73" s="40">
        <f t="shared" si="4"/>
        <v>0</v>
      </c>
      <c r="J73" s="166">
        <f t="shared" si="2"/>
        <v>0</v>
      </c>
      <c r="K73" s="166">
        <f t="shared" si="3"/>
        <v>0</v>
      </c>
    </row>
    <row r="74" spans="2:11" ht="14.1" customHeight="1" x14ac:dyDescent="0.2">
      <c r="B74" s="8"/>
      <c r="C74" s="331"/>
      <c r="D74" s="44">
        <v>150</v>
      </c>
      <c r="E74" s="184">
        <v>25.93</v>
      </c>
      <c r="F74" s="38">
        <f t="shared" si="6"/>
        <v>0</v>
      </c>
      <c r="G74" s="166">
        <f t="shared" si="5"/>
        <v>25.93</v>
      </c>
      <c r="H74" s="44">
        <v>0.24</v>
      </c>
      <c r="I74" s="40">
        <f t="shared" si="4"/>
        <v>0</v>
      </c>
      <c r="J74" s="166">
        <f t="shared" si="2"/>
        <v>0</v>
      </c>
      <c r="K74" s="166">
        <f t="shared" si="3"/>
        <v>0</v>
      </c>
    </row>
    <row r="75" spans="2:11" ht="14.1" customHeight="1" x14ac:dyDescent="0.2">
      <c r="B75" s="8"/>
      <c r="C75" s="331"/>
      <c r="D75" s="44">
        <v>200</v>
      </c>
      <c r="E75" s="166">
        <v>38.35</v>
      </c>
      <c r="F75" s="38">
        <f t="shared" si="6"/>
        <v>0</v>
      </c>
      <c r="G75" s="166">
        <f t="shared" si="5"/>
        <v>38.35</v>
      </c>
      <c r="H75" s="44">
        <v>0.32</v>
      </c>
      <c r="I75" s="40">
        <f t="shared" si="4"/>
        <v>0</v>
      </c>
      <c r="J75" s="166">
        <f t="shared" si="2"/>
        <v>0</v>
      </c>
      <c r="K75" s="166">
        <f t="shared" si="3"/>
        <v>0</v>
      </c>
    </row>
    <row r="76" spans="2:11" ht="14.1" customHeight="1" x14ac:dyDescent="0.2">
      <c r="B76" s="8"/>
      <c r="C76" s="331"/>
      <c r="D76" s="44">
        <v>225</v>
      </c>
      <c r="E76" s="166">
        <v>38.229999999999997</v>
      </c>
      <c r="F76" s="38">
        <f t="shared" si="6"/>
        <v>0</v>
      </c>
      <c r="G76" s="166">
        <f t="shared" si="5"/>
        <v>38.229999999999997</v>
      </c>
      <c r="H76" s="44">
        <v>0.36</v>
      </c>
      <c r="I76" s="40">
        <f t="shared" si="4"/>
        <v>0</v>
      </c>
      <c r="J76" s="166">
        <f t="shared" si="2"/>
        <v>0</v>
      </c>
      <c r="K76" s="166">
        <f t="shared" si="3"/>
        <v>0</v>
      </c>
    </row>
    <row r="77" spans="2:11" ht="14.1" customHeight="1" x14ac:dyDescent="0.2">
      <c r="B77" s="8"/>
      <c r="C77" s="331"/>
      <c r="D77" s="44">
        <v>250</v>
      </c>
      <c r="E77" s="166">
        <v>44.12</v>
      </c>
      <c r="F77" s="38">
        <f t="shared" si="6"/>
        <v>0</v>
      </c>
      <c r="G77" s="166">
        <f t="shared" si="5"/>
        <v>44.12</v>
      </c>
      <c r="H77" s="44">
        <v>0.4</v>
      </c>
      <c r="I77" s="40">
        <f t="shared" si="4"/>
        <v>0</v>
      </c>
      <c r="J77" s="166">
        <f t="shared" si="2"/>
        <v>0</v>
      </c>
      <c r="K77" s="166">
        <f t="shared" si="3"/>
        <v>0</v>
      </c>
    </row>
    <row r="78" spans="2:11" ht="14.1" customHeight="1" x14ac:dyDescent="0.2">
      <c r="B78" s="8"/>
      <c r="C78" s="331"/>
      <c r="D78" s="44">
        <v>300</v>
      </c>
      <c r="E78" s="166">
        <v>54.57</v>
      </c>
      <c r="F78" s="38">
        <f t="shared" si="6"/>
        <v>0</v>
      </c>
      <c r="G78" s="166">
        <f t="shared" si="5"/>
        <v>54.57</v>
      </c>
      <c r="H78" s="44">
        <v>0.48</v>
      </c>
      <c r="I78" s="40">
        <f t="shared" si="4"/>
        <v>0</v>
      </c>
      <c r="J78" s="166">
        <f t="shared" si="2"/>
        <v>0</v>
      </c>
      <c r="K78" s="166">
        <f t="shared" si="3"/>
        <v>0</v>
      </c>
    </row>
    <row r="79" spans="2:11" ht="14.1" customHeight="1" x14ac:dyDescent="0.2">
      <c r="B79" s="8"/>
      <c r="C79" s="331"/>
      <c r="D79" s="44">
        <v>350</v>
      </c>
      <c r="E79" s="166">
        <v>74.5</v>
      </c>
      <c r="F79" s="38">
        <f t="shared" si="6"/>
        <v>0</v>
      </c>
      <c r="G79" s="166">
        <f t="shared" si="5"/>
        <v>74.5</v>
      </c>
      <c r="H79" s="44">
        <v>0.56000000000000005</v>
      </c>
      <c r="I79" s="40">
        <f t="shared" si="4"/>
        <v>0</v>
      </c>
      <c r="J79" s="166">
        <f t="shared" si="2"/>
        <v>0</v>
      </c>
      <c r="K79" s="166">
        <f t="shared" si="3"/>
        <v>0</v>
      </c>
    </row>
    <row r="80" spans="2:11" ht="14.1" customHeight="1" x14ac:dyDescent="0.2">
      <c r="B80" s="8"/>
      <c r="C80" s="331"/>
      <c r="D80" s="44">
        <v>400</v>
      </c>
      <c r="E80" s="166">
        <v>83.68</v>
      </c>
      <c r="F80" s="38">
        <f t="shared" si="6"/>
        <v>0</v>
      </c>
      <c r="G80" s="166">
        <f t="shared" si="5"/>
        <v>83.68</v>
      </c>
      <c r="H80" s="44">
        <v>0.65</v>
      </c>
      <c r="I80" s="40">
        <f t="shared" si="4"/>
        <v>0</v>
      </c>
      <c r="J80" s="166">
        <f t="shared" si="2"/>
        <v>0</v>
      </c>
      <c r="K80" s="166">
        <f t="shared" si="3"/>
        <v>0</v>
      </c>
    </row>
    <row r="81" spans="2:11" ht="14.1" customHeight="1" x14ac:dyDescent="0.2">
      <c r="B81" s="8"/>
      <c r="C81" s="331"/>
      <c r="D81" s="44">
        <v>450</v>
      </c>
      <c r="E81" s="166">
        <v>92.63</v>
      </c>
      <c r="F81" s="38">
        <f t="shared" si="6"/>
        <v>0</v>
      </c>
      <c r="G81" s="166">
        <f t="shared" si="5"/>
        <v>92.63</v>
      </c>
      <c r="H81" s="44">
        <v>0.73</v>
      </c>
      <c r="I81" s="40">
        <f t="shared" si="4"/>
        <v>0</v>
      </c>
      <c r="J81" s="166">
        <f t="shared" si="2"/>
        <v>0</v>
      </c>
      <c r="K81" s="166">
        <f t="shared" si="3"/>
        <v>0</v>
      </c>
    </row>
    <row r="82" spans="2:11" ht="14.1" customHeight="1" x14ac:dyDescent="0.2">
      <c r="B82" s="8"/>
      <c r="C82" s="331">
        <v>500</v>
      </c>
      <c r="D82" s="44">
        <v>100</v>
      </c>
      <c r="E82" s="166">
        <v>30.32</v>
      </c>
      <c r="F82" s="38">
        <f t="shared" si="6"/>
        <v>0</v>
      </c>
      <c r="G82" s="166">
        <f t="shared" si="5"/>
        <v>30.32</v>
      </c>
      <c r="H82" s="44">
        <v>0.97</v>
      </c>
      <c r="I82" s="40">
        <f t="shared" si="4"/>
        <v>0</v>
      </c>
      <c r="J82" s="166">
        <f t="shared" si="2"/>
        <v>0</v>
      </c>
      <c r="K82" s="166">
        <f t="shared" si="3"/>
        <v>0</v>
      </c>
    </row>
    <row r="83" spans="2:11" ht="14.1" customHeight="1" x14ac:dyDescent="0.2">
      <c r="B83" s="8"/>
      <c r="C83" s="331"/>
      <c r="D83" s="44">
        <v>150</v>
      </c>
      <c r="E83" s="166">
        <v>36.15</v>
      </c>
      <c r="F83" s="38">
        <f t="shared" si="6"/>
        <v>0</v>
      </c>
      <c r="G83" s="166">
        <f t="shared" si="5"/>
        <v>36.15</v>
      </c>
      <c r="H83" s="44">
        <v>0.24</v>
      </c>
      <c r="I83" s="40">
        <f t="shared" si="4"/>
        <v>0</v>
      </c>
      <c r="J83" s="166">
        <f t="shared" si="2"/>
        <v>0</v>
      </c>
      <c r="K83" s="166">
        <f t="shared" si="3"/>
        <v>0</v>
      </c>
    </row>
    <row r="84" spans="2:11" ht="14.1" customHeight="1" x14ac:dyDescent="0.2">
      <c r="B84" s="8"/>
      <c r="C84" s="331"/>
      <c r="D84" s="44">
        <v>200</v>
      </c>
      <c r="E84" s="166">
        <v>42.45</v>
      </c>
      <c r="F84" s="38">
        <f t="shared" si="6"/>
        <v>0</v>
      </c>
      <c r="G84" s="166">
        <f t="shared" si="5"/>
        <v>42.45</v>
      </c>
      <c r="H84" s="44">
        <v>0.32</v>
      </c>
      <c r="I84" s="40">
        <f t="shared" si="4"/>
        <v>0</v>
      </c>
      <c r="J84" s="166">
        <f t="shared" si="2"/>
        <v>0</v>
      </c>
      <c r="K84" s="166">
        <f t="shared" si="3"/>
        <v>0</v>
      </c>
    </row>
    <row r="85" spans="2:11" ht="14.1" customHeight="1" x14ac:dyDescent="0.2">
      <c r="B85" s="8"/>
      <c r="C85" s="331"/>
      <c r="D85" s="44">
        <v>225</v>
      </c>
      <c r="E85" s="166">
        <v>38.58</v>
      </c>
      <c r="F85" s="38">
        <f t="shared" si="6"/>
        <v>0</v>
      </c>
      <c r="G85" s="166">
        <f t="shared" si="5"/>
        <v>38.58</v>
      </c>
      <c r="H85" s="44">
        <v>0.36</v>
      </c>
      <c r="I85" s="40">
        <f t="shared" si="4"/>
        <v>0</v>
      </c>
      <c r="J85" s="166">
        <f t="shared" si="2"/>
        <v>0</v>
      </c>
      <c r="K85" s="166">
        <f t="shared" si="3"/>
        <v>0</v>
      </c>
    </row>
    <row r="86" spans="2:11" ht="14.1" customHeight="1" x14ac:dyDescent="0.2">
      <c r="B86" s="8"/>
      <c r="C86" s="331"/>
      <c r="D86" s="44">
        <v>250</v>
      </c>
      <c r="E86" s="166">
        <v>48.51</v>
      </c>
      <c r="F86" s="38">
        <f t="shared" si="6"/>
        <v>0</v>
      </c>
      <c r="G86" s="166">
        <f t="shared" si="5"/>
        <v>48.51</v>
      </c>
      <c r="H86" s="44">
        <v>0.4</v>
      </c>
      <c r="I86" s="40">
        <f t="shared" si="4"/>
        <v>0</v>
      </c>
      <c r="J86" s="166">
        <f t="shared" si="2"/>
        <v>0</v>
      </c>
      <c r="K86" s="166">
        <f t="shared" si="3"/>
        <v>0</v>
      </c>
    </row>
    <row r="87" spans="2:11" ht="14.1" customHeight="1" x14ac:dyDescent="0.2">
      <c r="B87" s="8"/>
      <c r="C87" s="331"/>
      <c r="D87" s="44">
        <v>300</v>
      </c>
      <c r="E87" s="166">
        <v>60.41</v>
      </c>
      <c r="F87" s="38">
        <f t="shared" si="6"/>
        <v>0</v>
      </c>
      <c r="G87" s="166">
        <f t="shared" si="5"/>
        <v>60.41</v>
      </c>
      <c r="H87" s="44">
        <v>0.48</v>
      </c>
      <c r="I87" s="40">
        <f t="shared" si="4"/>
        <v>0</v>
      </c>
      <c r="J87" s="166">
        <f t="shared" si="2"/>
        <v>0</v>
      </c>
      <c r="K87" s="166">
        <f t="shared" si="3"/>
        <v>0</v>
      </c>
    </row>
    <row r="88" spans="2:11" ht="14.1" customHeight="1" x14ac:dyDescent="0.2">
      <c r="B88" s="8"/>
      <c r="C88" s="331"/>
      <c r="D88" s="44">
        <v>350</v>
      </c>
      <c r="E88" s="166">
        <v>80.790000000000006</v>
      </c>
      <c r="F88" s="38">
        <f t="shared" si="6"/>
        <v>0</v>
      </c>
      <c r="G88" s="166">
        <f t="shared" si="5"/>
        <v>80.790000000000006</v>
      </c>
      <c r="H88" s="44">
        <v>0.56000000000000005</v>
      </c>
      <c r="I88" s="40">
        <f t="shared" si="4"/>
        <v>0</v>
      </c>
      <c r="J88" s="166">
        <f t="shared" si="2"/>
        <v>0</v>
      </c>
      <c r="K88" s="166">
        <f t="shared" si="3"/>
        <v>0</v>
      </c>
    </row>
    <row r="89" spans="2:11" ht="14.1" customHeight="1" x14ac:dyDescent="0.2">
      <c r="B89" s="8"/>
      <c r="C89" s="331"/>
      <c r="D89" s="44">
        <v>400</v>
      </c>
      <c r="E89" s="166">
        <v>92.8</v>
      </c>
      <c r="F89" s="38">
        <f t="shared" si="6"/>
        <v>0</v>
      </c>
      <c r="G89" s="166">
        <f t="shared" si="5"/>
        <v>92.8</v>
      </c>
      <c r="H89" s="44">
        <v>0.65</v>
      </c>
      <c r="I89" s="40">
        <f t="shared" si="4"/>
        <v>0</v>
      </c>
      <c r="J89" s="166">
        <f t="shared" si="2"/>
        <v>0</v>
      </c>
      <c r="K89" s="166">
        <f t="shared" si="3"/>
        <v>0</v>
      </c>
    </row>
    <row r="90" spans="2:11" ht="14.1" customHeight="1" x14ac:dyDescent="0.2">
      <c r="B90" s="8"/>
      <c r="C90" s="331"/>
      <c r="D90" s="44">
        <v>450</v>
      </c>
      <c r="E90" s="166">
        <v>100.83</v>
      </c>
      <c r="F90" s="38">
        <f t="shared" si="6"/>
        <v>0</v>
      </c>
      <c r="G90" s="166">
        <f t="shared" si="5"/>
        <v>100.83</v>
      </c>
      <c r="H90" s="44">
        <v>0.73</v>
      </c>
      <c r="I90" s="40">
        <f t="shared" si="4"/>
        <v>0</v>
      </c>
      <c r="J90" s="166">
        <f t="shared" si="2"/>
        <v>0</v>
      </c>
      <c r="K90" s="166">
        <f t="shared" si="3"/>
        <v>0</v>
      </c>
    </row>
    <row r="91" spans="2:11" ht="14.1" customHeight="1" x14ac:dyDescent="0.2">
      <c r="B91" s="8"/>
      <c r="C91" s="331"/>
      <c r="D91" s="44">
        <v>500</v>
      </c>
      <c r="E91" s="166">
        <v>109.03</v>
      </c>
      <c r="F91" s="38">
        <f t="shared" si="6"/>
        <v>0</v>
      </c>
      <c r="G91" s="166">
        <f t="shared" si="5"/>
        <v>109.03</v>
      </c>
      <c r="H91" s="44">
        <v>0.81</v>
      </c>
      <c r="I91" s="40">
        <f t="shared" si="4"/>
        <v>0</v>
      </c>
      <c r="J91" s="166">
        <f t="shared" si="2"/>
        <v>0</v>
      </c>
      <c r="K91" s="166">
        <f t="shared" si="3"/>
        <v>0</v>
      </c>
    </row>
    <row r="92" spans="2:11" ht="14.1" customHeight="1" x14ac:dyDescent="0.2">
      <c r="B92" s="8"/>
      <c r="C92" s="331">
        <v>550</v>
      </c>
      <c r="D92" s="44">
        <v>100</v>
      </c>
      <c r="E92" s="166">
        <v>32.74</v>
      </c>
      <c r="F92" s="38">
        <f t="shared" si="6"/>
        <v>0</v>
      </c>
      <c r="G92" s="166">
        <f t="shared" si="5"/>
        <v>32.74</v>
      </c>
      <c r="H92" s="44">
        <v>1.05</v>
      </c>
      <c r="I92" s="40">
        <f t="shared" si="4"/>
        <v>0</v>
      </c>
      <c r="J92" s="166">
        <f t="shared" si="2"/>
        <v>0</v>
      </c>
      <c r="K92" s="166">
        <f t="shared" si="3"/>
        <v>0</v>
      </c>
    </row>
    <row r="93" spans="2:11" ht="14.1" customHeight="1" x14ac:dyDescent="0.2">
      <c r="B93" s="8"/>
      <c r="C93" s="331"/>
      <c r="D93" s="44">
        <v>150</v>
      </c>
      <c r="E93" s="166">
        <v>38.81</v>
      </c>
      <c r="F93" s="38">
        <f t="shared" si="6"/>
        <v>0</v>
      </c>
      <c r="G93" s="166">
        <f t="shared" si="5"/>
        <v>38.81</v>
      </c>
      <c r="H93" s="44">
        <v>0.24</v>
      </c>
      <c r="I93" s="40">
        <f t="shared" si="4"/>
        <v>0</v>
      </c>
      <c r="J93" s="166">
        <f t="shared" si="2"/>
        <v>0</v>
      </c>
      <c r="K93" s="166">
        <f t="shared" si="3"/>
        <v>0</v>
      </c>
    </row>
    <row r="94" spans="2:11" ht="14.1" customHeight="1" x14ac:dyDescent="0.2">
      <c r="B94" s="8"/>
      <c r="C94" s="331"/>
      <c r="D94" s="44">
        <v>200</v>
      </c>
      <c r="E94" s="166">
        <v>50.7</v>
      </c>
      <c r="F94" s="38">
        <f t="shared" si="6"/>
        <v>0</v>
      </c>
      <c r="G94" s="166">
        <f t="shared" si="5"/>
        <v>50.7</v>
      </c>
      <c r="H94" s="44">
        <v>0.32</v>
      </c>
      <c r="I94" s="40">
        <f t="shared" si="4"/>
        <v>0</v>
      </c>
      <c r="J94" s="166">
        <f t="shared" si="2"/>
        <v>0</v>
      </c>
      <c r="K94" s="166">
        <f t="shared" si="3"/>
        <v>0</v>
      </c>
    </row>
    <row r="95" spans="2:11" ht="14.1" customHeight="1" x14ac:dyDescent="0.2">
      <c r="B95" s="8"/>
      <c r="C95" s="331"/>
      <c r="D95" s="44">
        <v>225</v>
      </c>
      <c r="E95" s="166">
        <v>45.1</v>
      </c>
      <c r="F95" s="38">
        <f t="shared" si="6"/>
        <v>0</v>
      </c>
      <c r="G95" s="166">
        <f t="shared" si="5"/>
        <v>45.1</v>
      </c>
      <c r="H95" s="44">
        <v>0.36</v>
      </c>
      <c r="I95" s="40">
        <f t="shared" si="4"/>
        <v>0</v>
      </c>
      <c r="J95" s="166">
        <f t="shared" si="2"/>
        <v>0</v>
      </c>
      <c r="K95" s="166">
        <f t="shared" si="3"/>
        <v>0</v>
      </c>
    </row>
    <row r="96" spans="2:11" ht="14.1" customHeight="1" x14ac:dyDescent="0.2">
      <c r="B96" s="8"/>
      <c r="C96" s="331"/>
      <c r="D96" s="44">
        <v>250</v>
      </c>
      <c r="E96" s="166">
        <v>62.45</v>
      </c>
      <c r="F96" s="38">
        <f t="shared" si="6"/>
        <v>0</v>
      </c>
      <c r="G96" s="166">
        <f t="shared" si="5"/>
        <v>62.45</v>
      </c>
      <c r="H96" s="44">
        <v>0.4</v>
      </c>
      <c r="I96" s="40">
        <f t="shared" si="4"/>
        <v>0</v>
      </c>
      <c r="J96" s="166">
        <f t="shared" si="2"/>
        <v>0</v>
      </c>
      <c r="K96" s="166">
        <f t="shared" si="3"/>
        <v>0</v>
      </c>
    </row>
    <row r="97" spans="2:11" ht="14.1" customHeight="1" x14ac:dyDescent="0.2">
      <c r="B97" s="8"/>
      <c r="C97" s="331"/>
      <c r="D97" s="44">
        <v>300</v>
      </c>
      <c r="E97" s="166">
        <v>72.19</v>
      </c>
      <c r="F97" s="38">
        <f t="shared" si="6"/>
        <v>0</v>
      </c>
      <c r="G97" s="166">
        <f t="shared" si="5"/>
        <v>72.19</v>
      </c>
      <c r="H97" s="44">
        <v>0.48</v>
      </c>
      <c r="I97" s="40">
        <f t="shared" si="4"/>
        <v>0</v>
      </c>
      <c r="J97" s="166">
        <f t="shared" si="2"/>
        <v>0</v>
      </c>
      <c r="K97" s="166">
        <f t="shared" si="3"/>
        <v>0</v>
      </c>
    </row>
    <row r="98" spans="2:11" ht="14.1" customHeight="1" x14ac:dyDescent="0.2">
      <c r="B98" s="8"/>
      <c r="C98" s="331"/>
      <c r="D98" s="44">
        <v>350</v>
      </c>
      <c r="E98" s="166">
        <v>89.74</v>
      </c>
      <c r="F98" s="38">
        <f t="shared" si="6"/>
        <v>0</v>
      </c>
      <c r="G98" s="166">
        <f t="shared" si="5"/>
        <v>89.74</v>
      </c>
      <c r="H98" s="44">
        <v>0.56000000000000005</v>
      </c>
      <c r="I98" s="40">
        <f t="shared" si="4"/>
        <v>0</v>
      </c>
      <c r="J98" s="166">
        <f t="shared" si="2"/>
        <v>0</v>
      </c>
      <c r="K98" s="166">
        <f t="shared" si="3"/>
        <v>0</v>
      </c>
    </row>
    <row r="99" spans="2:11" ht="14.1" customHeight="1" x14ac:dyDescent="0.2">
      <c r="B99" s="8"/>
      <c r="C99" s="331"/>
      <c r="D99" s="44">
        <v>400</v>
      </c>
      <c r="E99" s="166">
        <v>97.54</v>
      </c>
      <c r="F99" s="38">
        <f t="shared" si="6"/>
        <v>0</v>
      </c>
      <c r="G99" s="166">
        <f t="shared" si="5"/>
        <v>97.54</v>
      </c>
      <c r="H99" s="44">
        <v>0.65</v>
      </c>
      <c r="I99" s="40">
        <f t="shared" si="4"/>
        <v>0</v>
      </c>
      <c r="J99" s="166">
        <f t="shared" si="2"/>
        <v>0</v>
      </c>
      <c r="K99" s="166">
        <f t="shared" si="3"/>
        <v>0</v>
      </c>
    </row>
    <row r="100" spans="2:11" ht="14.1" customHeight="1" x14ac:dyDescent="0.2">
      <c r="B100" s="8"/>
      <c r="C100" s="331"/>
      <c r="D100" s="44">
        <v>450</v>
      </c>
      <c r="E100" s="166">
        <v>108.69</v>
      </c>
      <c r="F100" s="38">
        <f t="shared" si="6"/>
        <v>0</v>
      </c>
      <c r="G100" s="166">
        <f t="shared" si="5"/>
        <v>108.69</v>
      </c>
      <c r="H100" s="44">
        <v>0.73</v>
      </c>
      <c r="I100" s="40">
        <f t="shared" si="4"/>
        <v>0</v>
      </c>
      <c r="J100" s="166">
        <f t="shared" si="2"/>
        <v>0</v>
      </c>
      <c r="K100" s="166">
        <f t="shared" si="3"/>
        <v>0</v>
      </c>
    </row>
    <row r="101" spans="2:11" ht="14.1" customHeight="1" x14ac:dyDescent="0.2">
      <c r="B101" s="8"/>
      <c r="C101" s="331"/>
      <c r="D101" s="44">
        <v>500</v>
      </c>
      <c r="E101" s="166">
        <v>125.55</v>
      </c>
      <c r="F101" s="38">
        <f t="shared" si="6"/>
        <v>0</v>
      </c>
      <c r="G101" s="166">
        <f t="shared" ref="G101:G114" si="7">E101-(E101*F101)</f>
        <v>125.55</v>
      </c>
      <c r="H101" s="44">
        <v>0.81</v>
      </c>
      <c r="I101" s="40">
        <f t="shared" si="4"/>
        <v>0</v>
      </c>
      <c r="J101" s="166">
        <f t="shared" si="2"/>
        <v>0</v>
      </c>
      <c r="K101" s="166">
        <f t="shared" si="3"/>
        <v>0</v>
      </c>
    </row>
    <row r="102" spans="2:11" ht="14.1" customHeight="1" x14ac:dyDescent="0.2">
      <c r="B102" s="8"/>
      <c r="C102" s="331"/>
      <c r="D102" s="44">
        <v>550</v>
      </c>
      <c r="E102" s="166">
        <v>132.83000000000001</v>
      </c>
      <c r="F102" s="38">
        <f t="shared" ref="F102:F114" si="8">$F$37</f>
        <v>0</v>
      </c>
      <c r="G102" s="166">
        <f t="shared" si="7"/>
        <v>132.83000000000001</v>
      </c>
      <c r="H102" s="44">
        <v>0.89</v>
      </c>
      <c r="I102" s="40">
        <f t="shared" si="4"/>
        <v>0</v>
      </c>
      <c r="J102" s="166">
        <f t="shared" ref="J102:J114" si="9">(2.4-(2.4*I102))*H102*B102</f>
        <v>0</v>
      </c>
      <c r="K102" s="166">
        <f t="shared" ref="K102:K114" si="10">(B102*G102)+J102</f>
        <v>0</v>
      </c>
    </row>
    <row r="103" spans="2:11" ht="14.1" customHeight="1" x14ac:dyDescent="0.2">
      <c r="B103" s="8"/>
      <c r="C103" s="331">
        <v>600</v>
      </c>
      <c r="D103" s="44">
        <v>100</v>
      </c>
      <c r="E103" s="166">
        <v>34.590000000000003</v>
      </c>
      <c r="F103" s="38">
        <f t="shared" si="8"/>
        <v>0</v>
      </c>
      <c r="G103" s="166">
        <f t="shared" si="7"/>
        <v>34.590000000000003</v>
      </c>
      <c r="H103" s="44">
        <v>1.1299999999999999</v>
      </c>
      <c r="I103" s="40">
        <f t="shared" ref="I103:I114" si="11">$I$37</f>
        <v>0</v>
      </c>
      <c r="J103" s="166">
        <f t="shared" si="9"/>
        <v>0</v>
      </c>
      <c r="K103" s="166">
        <f t="shared" si="10"/>
        <v>0</v>
      </c>
    </row>
    <row r="104" spans="2:11" ht="14.1" customHeight="1" x14ac:dyDescent="0.2">
      <c r="B104" s="8"/>
      <c r="C104" s="331"/>
      <c r="D104" s="44">
        <v>150</v>
      </c>
      <c r="E104" s="166">
        <v>41.23</v>
      </c>
      <c r="F104" s="38">
        <f t="shared" si="8"/>
        <v>0</v>
      </c>
      <c r="G104" s="166">
        <f t="shared" si="7"/>
        <v>41.23</v>
      </c>
      <c r="H104" s="44">
        <v>0.24</v>
      </c>
      <c r="I104" s="40">
        <f t="shared" si="11"/>
        <v>0</v>
      </c>
      <c r="J104" s="166">
        <f t="shared" si="9"/>
        <v>0</v>
      </c>
      <c r="K104" s="166">
        <f t="shared" si="10"/>
        <v>0</v>
      </c>
    </row>
    <row r="105" spans="2:11" ht="14.1" customHeight="1" x14ac:dyDescent="0.2">
      <c r="B105" s="8"/>
      <c r="C105" s="331"/>
      <c r="D105" s="44">
        <v>200</v>
      </c>
      <c r="E105" s="166">
        <v>60.06</v>
      </c>
      <c r="F105" s="38">
        <f t="shared" si="8"/>
        <v>0</v>
      </c>
      <c r="G105" s="166">
        <f t="shared" si="7"/>
        <v>60.06</v>
      </c>
      <c r="H105" s="44">
        <v>0.32</v>
      </c>
      <c r="I105" s="40">
        <f t="shared" si="11"/>
        <v>0</v>
      </c>
      <c r="J105" s="166">
        <f t="shared" si="9"/>
        <v>0</v>
      </c>
      <c r="K105" s="166">
        <f t="shared" si="10"/>
        <v>0</v>
      </c>
    </row>
    <row r="106" spans="2:11" ht="14.1" customHeight="1" x14ac:dyDescent="0.2">
      <c r="B106" s="8"/>
      <c r="C106" s="331"/>
      <c r="D106" s="44">
        <v>225</v>
      </c>
      <c r="E106" s="166">
        <v>50.24</v>
      </c>
      <c r="F106" s="38">
        <f t="shared" si="8"/>
        <v>0</v>
      </c>
      <c r="G106" s="166">
        <f t="shared" si="7"/>
        <v>50.24</v>
      </c>
      <c r="H106" s="44">
        <v>0.36</v>
      </c>
      <c r="I106" s="40">
        <f t="shared" si="11"/>
        <v>0</v>
      </c>
      <c r="J106" s="166">
        <f t="shared" si="9"/>
        <v>0</v>
      </c>
      <c r="K106" s="166">
        <f t="shared" si="10"/>
        <v>0</v>
      </c>
    </row>
    <row r="107" spans="2:11" ht="14.1" customHeight="1" x14ac:dyDescent="0.2">
      <c r="B107" s="8"/>
      <c r="C107" s="331"/>
      <c r="D107" s="44">
        <v>250</v>
      </c>
      <c r="E107" s="166">
        <v>71.55</v>
      </c>
      <c r="F107" s="38">
        <f t="shared" si="8"/>
        <v>0</v>
      </c>
      <c r="G107" s="166">
        <f t="shared" si="7"/>
        <v>71.55</v>
      </c>
      <c r="H107" s="44">
        <v>0.4</v>
      </c>
      <c r="I107" s="40">
        <f t="shared" si="11"/>
        <v>0</v>
      </c>
      <c r="J107" s="166">
        <f t="shared" si="9"/>
        <v>0</v>
      </c>
      <c r="K107" s="166">
        <f t="shared" si="10"/>
        <v>0</v>
      </c>
    </row>
    <row r="108" spans="2:11" ht="14.1" customHeight="1" x14ac:dyDescent="0.2">
      <c r="B108" s="8"/>
      <c r="C108" s="331"/>
      <c r="D108" s="44">
        <v>300</v>
      </c>
      <c r="E108" s="166">
        <v>83.68</v>
      </c>
      <c r="F108" s="38">
        <f t="shared" si="8"/>
        <v>0</v>
      </c>
      <c r="G108" s="166">
        <f t="shared" si="7"/>
        <v>83.68</v>
      </c>
      <c r="H108" s="44">
        <v>0.48</v>
      </c>
      <c r="I108" s="40">
        <f t="shared" si="11"/>
        <v>0</v>
      </c>
      <c r="J108" s="166">
        <f t="shared" si="9"/>
        <v>0</v>
      </c>
      <c r="K108" s="166">
        <f t="shared" si="10"/>
        <v>0</v>
      </c>
    </row>
    <row r="109" spans="2:11" ht="14.1" customHeight="1" x14ac:dyDescent="0.2">
      <c r="B109" s="8"/>
      <c r="C109" s="331"/>
      <c r="D109" s="44">
        <v>350</v>
      </c>
      <c r="E109" s="166">
        <v>93.38</v>
      </c>
      <c r="F109" s="38">
        <f t="shared" si="8"/>
        <v>0</v>
      </c>
      <c r="G109" s="166">
        <f t="shared" si="7"/>
        <v>93.38</v>
      </c>
      <c r="H109" s="44">
        <v>0.56000000000000005</v>
      </c>
      <c r="I109" s="40">
        <f t="shared" si="11"/>
        <v>0</v>
      </c>
      <c r="J109" s="166">
        <f t="shared" si="9"/>
        <v>0</v>
      </c>
      <c r="K109" s="166">
        <f t="shared" si="10"/>
        <v>0</v>
      </c>
    </row>
    <row r="110" spans="2:11" ht="14.1" customHeight="1" x14ac:dyDescent="0.2">
      <c r="B110" s="8"/>
      <c r="C110" s="331"/>
      <c r="D110" s="44">
        <v>400</v>
      </c>
      <c r="E110" s="166">
        <v>100.95</v>
      </c>
      <c r="F110" s="38">
        <f t="shared" si="8"/>
        <v>0</v>
      </c>
      <c r="G110" s="166">
        <f t="shared" si="7"/>
        <v>100.95</v>
      </c>
      <c r="H110" s="44">
        <v>0.65</v>
      </c>
      <c r="I110" s="40">
        <f t="shared" si="11"/>
        <v>0</v>
      </c>
      <c r="J110" s="166">
        <f t="shared" si="9"/>
        <v>0</v>
      </c>
      <c r="K110" s="166">
        <f t="shared" si="10"/>
        <v>0</v>
      </c>
    </row>
    <row r="111" spans="2:11" ht="14.1" customHeight="1" x14ac:dyDescent="0.2">
      <c r="B111" s="8"/>
      <c r="C111" s="331"/>
      <c r="D111" s="44">
        <v>450</v>
      </c>
      <c r="E111" s="166">
        <v>113.31</v>
      </c>
      <c r="F111" s="38">
        <f t="shared" si="8"/>
        <v>0</v>
      </c>
      <c r="G111" s="166">
        <f t="shared" si="7"/>
        <v>113.31</v>
      </c>
      <c r="H111" s="44">
        <v>0.73</v>
      </c>
      <c r="I111" s="40">
        <f t="shared" si="11"/>
        <v>0</v>
      </c>
      <c r="J111" s="166">
        <f t="shared" si="9"/>
        <v>0</v>
      </c>
      <c r="K111" s="166">
        <f t="shared" si="10"/>
        <v>0</v>
      </c>
    </row>
    <row r="112" spans="2:11" ht="14.1" customHeight="1" x14ac:dyDescent="0.2">
      <c r="B112" s="8"/>
      <c r="C112" s="331"/>
      <c r="D112" s="44">
        <v>500</v>
      </c>
      <c r="E112" s="166">
        <v>128.78</v>
      </c>
      <c r="F112" s="38">
        <f t="shared" si="8"/>
        <v>0</v>
      </c>
      <c r="G112" s="166">
        <f t="shared" si="7"/>
        <v>128.78</v>
      </c>
      <c r="H112" s="44">
        <v>0.81</v>
      </c>
      <c r="I112" s="40">
        <f t="shared" si="11"/>
        <v>0</v>
      </c>
      <c r="J112" s="166">
        <f t="shared" si="9"/>
        <v>0</v>
      </c>
      <c r="K112" s="166">
        <f t="shared" si="10"/>
        <v>0</v>
      </c>
    </row>
    <row r="113" spans="2:11" ht="14.1" customHeight="1" x14ac:dyDescent="0.2">
      <c r="B113" s="8"/>
      <c r="C113" s="331"/>
      <c r="D113" s="44">
        <v>550</v>
      </c>
      <c r="E113" s="166">
        <v>140.68</v>
      </c>
      <c r="F113" s="38">
        <f t="shared" si="8"/>
        <v>0</v>
      </c>
      <c r="G113" s="166">
        <f t="shared" si="7"/>
        <v>140.68</v>
      </c>
      <c r="H113" s="44">
        <v>0.89</v>
      </c>
      <c r="I113" s="40">
        <f t="shared" si="11"/>
        <v>0</v>
      </c>
      <c r="J113" s="166">
        <f t="shared" si="9"/>
        <v>0</v>
      </c>
      <c r="K113" s="166">
        <f t="shared" si="10"/>
        <v>0</v>
      </c>
    </row>
    <row r="114" spans="2:11" ht="14.1" customHeight="1" x14ac:dyDescent="0.2">
      <c r="B114" s="8"/>
      <c r="C114" s="331"/>
      <c r="D114" s="44">
        <v>600</v>
      </c>
      <c r="E114" s="166">
        <v>145.30000000000001</v>
      </c>
      <c r="F114" s="38">
        <f t="shared" si="8"/>
        <v>0</v>
      </c>
      <c r="G114" s="166">
        <f t="shared" si="7"/>
        <v>145.30000000000001</v>
      </c>
      <c r="H114" s="44">
        <v>0.97</v>
      </c>
      <c r="I114" s="40">
        <f t="shared" si="11"/>
        <v>0</v>
      </c>
      <c r="J114" s="166">
        <f t="shared" si="9"/>
        <v>0</v>
      </c>
      <c r="K114" s="166">
        <f t="shared" si="10"/>
        <v>0</v>
      </c>
    </row>
    <row r="115" spans="2:11" ht="18" customHeight="1" x14ac:dyDescent="0.2">
      <c r="B115" s="22"/>
      <c r="C115" s="22"/>
      <c r="D115" s="22"/>
      <c r="E115" s="22"/>
      <c r="G115" s="100"/>
      <c r="H115" s="332" t="s">
        <v>85</v>
      </c>
      <c r="I115" s="332"/>
      <c r="J115" s="332"/>
      <c r="K115" s="170">
        <f>SUM(K37:K114)</f>
        <v>0</v>
      </c>
    </row>
    <row r="116" spans="2:11" ht="18" customHeight="1" x14ac:dyDescent="0.2">
      <c r="B116" s="22"/>
      <c r="C116" s="22"/>
      <c r="D116" s="22"/>
      <c r="E116" s="22"/>
      <c r="G116" s="100"/>
      <c r="H116" s="230" t="s">
        <v>265</v>
      </c>
      <c r="I116" s="230"/>
      <c r="J116" s="230"/>
      <c r="K116" s="145">
        <f>SUM(B37:B114)</f>
        <v>0</v>
      </c>
    </row>
    <row r="117" spans="2:11" ht="18" customHeight="1" x14ac:dyDescent="0.2">
      <c r="B117" s="22"/>
      <c r="C117" s="22"/>
      <c r="D117" s="22"/>
      <c r="E117" s="22"/>
      <c r="G117" s="100"/>
      <c r="H117" s="230" t="s">
        <v>266</v>
      </c>
      <c r="I117" s="230"/>
      <c r="J117" s="230"/>
      <c r="K117" s="145">
        <f>SUMPRODUCT(B37:B114,H37:H114)</f>
        <v>0</v>
      </c>
    </row>
    <row r="118" spans="2:11" ht="14.1" customHeight="1" x14ac:dyDescent="0.2">
      <c r="B118" s="22"/>
      <c r="C118" s="22"/>
      <c r="D118" s="22"/>
      <c r="E118" s="22"/>
      <c r="F118" s="22"/>
      <c r="G118" s="22"/>
      <c r="H118" s="22"/>
      <c r="I118" s="22"/>
      <c r="J118" s="22"/>
      <c r="K118" s="22"/>
    </row>
    <row r="119" spans="2:11" ht="14.1" customHeight="1" x14ac:dyDescent="0.2">
      <c r="B119" s="22"/>
      <c r="C119" s="22"/>
      <c r="D119" s="22"/>
      <c r="E119" s="22"/>
      <c r="F119" s="22"/>
      <c r="G119" s="22"/>
      <c r="H119" s="22"/>
      <c r="I119" s="22"/>
      <c r="J119" s="22"/>
      <c r="K119" s="22"/>
    </row>
    <row r="120" spans="2:11" ht="21" customHeight="1" x14ac:dyDescent="0.2">
      <c r="B120" s="227" t="s">
        <v>250</v>
      </c>
      <c r="C120" s="227"/>
      <c r="D120" s="227"/>
      <c r="E120" s="227"/>
      <c r="F120" s="227"/>
      <c r="G120" s="227"/>
      <c r="H120" s="227"/>
      <c r="I120" s="227"/>
      <c r="J120" s="227"/>
      <c r="K120" s="144" t="s">
        <v>49</v>
      </c>
    </row>
    <row r="121" spans="2:11" ht="21.75" customHeight="1" x14ac:dyDescent="0.2">
      <c r="B121" s="228" t="s">
        <v>255</v>
      </c>
      <c r="C121" s="230" t="s">
        <v>256</v>
      </c>
      <c r="D121" s="230"/>
      <c r="E121" s="228" t="s">
        <v>106</v>
      </c>
      <c r="F121" s="228" t="s">
        <v>254</v>
      </c>
      <c r="G121" s="228" t="s">
        <v>259</v>
      </c>
      <c r="H121" s="228" t="s">
        <v>61</v>
      </c>
      <c r="I121" s="228"/>
      <c r="J121" s="228"/>
      <c r="K121" s="228" t="s">
        <v>260</v>
      </c>
    </row>
    <row r="122" spans="2:11" ht="21.75" customHeight="1" x14ac:dyDescent="0.2">
      <c r="B122" s="230"/>
      <c r="C122" s="192" t="s">
        <v>257</v>
      </c>
      <c r="D122" s="192" t="s">
        <v>258</v>
      </c>
      <c r="E122" s="228"/>
      <c r="F122" s="230"/>
      <c r="G122" s="228"/>
      <c r="H122" s="139" t="s">
        <v>0</v>
      </c>
      <c r="I122" s="139" t="s">
        <v>2</v>
      </c>
      <c r="J122" s="139" t="s">
        <v>3</v>
      </c>
      <c r="K122" s="228"/>
    </row>
    <row r="123" spans="2:11" ht="14.1" customHeight="1" x14ac:dyDescent="0.2">
      <c r="B123" s="8"/>
      <c r="C123" s="331">
        <v>100</v>
      </c>
      <c r="D123" s="44">
        <v>100</v>
      </c>
      <c r="E123" s="210">
        <v>21.5</v>
      </c>
      <c r="F123" s="9">
        <v>0</v>
      </c>
      <c r="G123" s="166">
        <f t="shared" ref="G123:G147" si="12">E123-(E123*F123)</f>
        <v>21.5</v>
      </c>
      <c r="H123" s="44">
        <v>0.32</v>
      </c>
      <c r="I123" s="9">
        <v>0</v>
      </c>
      <c r="J123" s="166">
        <f t="shared" ref="J123:J147" si="13">(2.4-(2.4*I123))*H123*B123</f>
        <v>0</v>
      </c>
      <c r="K123" s="166">
        <f>(B123*G123)+J123</f>
        <v>0</v>
      </c>
    </row>
    <row r="124" spans="2:11" ht="13.5" customHeight="1" x14ac:dyDescent="0.2">
      <c r="B124" s="8"/>
      <c r="C124" s="331"/>
      <c r="D124" s="44">
        <v>150</v>
      </c>
      <c r="E124" s="210">
        <v>25.83</v>
      </c>
      <c r="F124" s="38">
        <f t="shared" ref="F124:F147" si="14">$F$123</f>
        <v>0</v>
      </c>
      <c r="G124" s="166">
        <f t="shared" si="12"/>
        <v>25.83</v>
      </c>
      <c r="H124" s="44">
        <v>0.4</v>
      </c>
      <c r="I124" s="101">
        <f>$I$123</f>
        <v>0</v>
      </c>
      <c r="J124" s="166">
        <f t="shared" si="13"/>
        <v>0</v>
      </c>
      <c r="K124" s="166">
        <f t="shared" ref="K124:K147" si="15">(B124*G124)+J124</f>
        <v>0</v>
      </c>
    </row>
    <row r="125" spans="2:11" ht="14.1" customHeight="1" x14ac:dyDescent="0.2">
      <c r="B125" s="8"/>
      <c r="C125" s="331"/>
      <c r="D125" s="44">
        <v>200</v>
      </c>
      <c r="E125" s="210">
        <v>29.14</v>
      </c>
      <c r="F125" s="38">
        <f t="shared" si="14"/>
        <v>0</v>
      </c>
      <c r="G125" s="166">
        <f t="shared" si="12"/>
        <v>29.14</v>
      </c>
      <c r="H125" s="44">
        <v>0.48</v>
      </c>
      <c r="I125" s="101">
        <f t="shared" ref="I125:I147" si="16">$I$123</f>
        <v>0</v>
      </c>
      <c r="J125" s="166">
        <f t="shared" si="13"/>
        <v>0</v>
      </c>
      <c r="K125" s="166">
        <f t="shared" si="15"/>
        <v>0</v>
      </c>
    </row>
    <row r="126" spans="2:11" ht="14.1" customHeight="1" x14ac:dyDescent="0.2">
      <c r="B126" s="8"/>
      <c r="C126" s="331"/>
      <c r="D126" s="44">
        <v>250</v>
      </c>
      <c r="E126" s="210">
        <v>31.78</v>
      </c>
      <c r="F126" s="38">
        <f t="shared" si="14"/>
        <v>0</v>
      </c>
      <c r="G126" s="166">
        <f t="shared" si="12"/>
        <v>31.78</v>
      </c>
      <c r="H126" s="44">
        <v>0.56000000000000005</v>
      </c>
      <c r="I126" s="101">
        <f t="shared" si="16"/>
        <v>0</v>
      </c>
      <c r="J126" s="166">
        <f t="shared" si="13"/>
        <v>0</v>
      </c>
      <c r="K126" s="166">
        <f t="shared" si="15"/>
        <v>0</v>
      </c>
    </row>
    <row r="127" spans="2:11" ht="14.1" customHeight="1" x14ac:dyDescent="0.2">
      <c r="B127" s="8"/>
      <c r="C127" s="331"/>
      <c r="D127" s="44">
        <v>300</v>
      </c>
      <c r="E127" s="210">
        <v>35.770000000000003</v>
      </c>
      <c r="F127" s="38">
        <f t="shared" si="14"/>
        <v>0</v>
      </c>
      <c r="G127" s="166">
        <f t="shared" si="12"/>
        <v>35.770000000000003</v>
      </c>
      <c r="H127" s="44">
        <v>0.65</v>
      </c>
      <c r="I127" s="101">
        <f t="shared" si="16"/>
        <v>0</v>
      </c>
      <c r="J127" s="166">
        <f t="shared" si="13"/>
        <v>0</v>
      </c>
      <c r="K127" s="166">
        <f t="shared" si="15"/>
        <v>0</v>
      </c>
    </row>
    <row r="128" spans="2:11" ht="14.1" customHeight="1" x14ac:dyDescent="0.2">
      <c r="B128" s="8"/>
      <c r="C128" s="331">
        <v>150</v>
      </c>
      <c r="D128" s="44">
        <v>100</v>
      </c>
      <c r="E128" s="210">
        <v>29.48</v>
      </c>
      <c r="F128" s="38">
        <f t="shared" si="14"/>
        <v>0</v>
      </c>
      <c r="G128" s="166">
        <f t="shared" si="12"/>
        <v>29.48</v>
      </c>
      <c r="H128" s="44">
        <v>0.4</v>
      </c>
      <c r="I128" s="101">
        <f t="shared" si="16"/>
        <v>0</v>
      </c>
      <c r="J128" s="166">
        <f t="shared" si="13"/>
        <v>0</v>
      </c>
      <c r="K128" s="166">
        <f t="shared" si="15"/>
        <v>0</v>
      </c>
    </row>
    <row r="129" spans="2:11" ht="14.1" customHeight="1" x14ac:dyDescent="0.2">
      <c r="B129" s="8"/>
      <c r="C129" s="331"/>
      <c r="D129" s="44">
        <v>150</v>
      </c>
      <c r="E129" s="210">
        <v>29.82</v>
      </c>
      <c r="F129" s="38">
        <f t="shared" si="14"/>
        <v>0</v>
      </c>
      <c r="G129" s="166">
        <f t="shared" si="12"/>
        <v>29.82</v>
      </c>
      <c r="H129" s="44">
        <v>0.48</v>
      </c>
      <c r="I129" s="101">
        <f t="shared" si="16"/>
        <v>0</v>
      </c>
      <c r="J129" s="166">
        <f t="shared" si="13"/>
        <v>0</v>
      </c>
      <c r="K129" s="166">
        <f t="shared" si="15"/>
        <v>0</v>
      </c>
    </row>
    <row r="130" spans="2:11" ht="14.1" customHeight="1" x14ac:dyDescent="0.2">
      <c r="B130" s="8"/>
      <c r="C130" s="331"/>
      <c r="D130" s="44">
        <v>200</v>
      </c>
      <c r="E130" s="210">
        <v>35.36</v>
      </c>
      <c r="F130" s="38">
        <f t="shared" si="14"/>
        <v>0</v>
      </c>
      <c r="G130" s="166">
        <f t="shared" si="12"/>
        <v>35.36</v>
      </c>
      <c r="H130" s="44">
        <v>0.56000000000000005</v>
      </c>
      <c r="I130" s="101">
        <f t="shared" si="16"/>
        <v>0</v>
      </c>
      <c r="J130" s="166">
        <f t="shared" si="13"/>
        <v>0</v>
      </c>
      <c r="K130" s="166">
        <f t="shared" si="15"/>
        <v>0</v>
      </c>
    </row>
    <row r="131" spans="2:11" ht="14.1" customHeight="1" x14ac:dyDescent="0.2">
      <c r="B131" s="8"/>
      <c r="C131" s="331"/>
      <c r="D131" s="44">
        <v>250</v>
      </c>
      <c r="E131" s="210">
        <v>40.5</v>
      </c>
      <c r="F131" s="38">
        <f t="shared" si="14"/>
        <v>0</v>
      </c>
      <c r="G131" s="166">
        <f t="shared" si="12"/>
        <v>40.5</v>
      </c>
      <c r="H131" s="44">
        <v>0.65</v>
      </c>
      <c r="I131" s="101">
        <f t="shared" si="16"/>
        <v>0</v>
      </c>
      <c r="J131" s="166">
        <f t="shared" si="13"/>
        <v>0</v>
      </c>
      <c r="K131" s="166">
        <f t="shared" si="15"/>
        <v>0</v>
      </c>
    </row>
    <row r="132" spans="2:11" ht="14.1" customHeight="1" x14ac:dyDescent="0.2">
      <c r="B132" s="8"/>
      <c r="C132" s="331"/>
      <c r="D132" s="44">
        <v>300</v>
      </c>
      <c r="E132" s="210">
        <v>46.59</v>
      </c>
      <c r="F132" s="38">
        <f t="shared" si="14"/>
        <v>0</v>
      </c>
      <c r="G132" s="166">
        <f t="shared" si="12"/>
        <v>46.59</v>
      </c>
      <c r="H132" s="44">
        <v>0.73</v>
      </c>
      <c r="I132" s="101">
        <f t="shared" si="16"/>
        <v>0</v>
      </c>
      <c r="J132" s="166">
        <f t="shared" si="13"/>
        <v>0</v>
      </c>
      <c r="K132" s="166">
        <f t="shared" si="15"/>
        <v>0</v>
      </c>
    </row>
    <row r="133" spans="2:11" ht="14.1" customHeight="1" x14ac:dyDescent="0.2">
      <c r="B133" s="8"/>
      <c r="C133" s="331">
        <v>200</v>
      </c>
      <c r="D133" s="44">
        <v>100</v>
      </c>
      <c r="E133" s="210">
        <v>29.14</v>
      </c>
      <c r="F133" s="38">
        <f t="shared" si="14"/>
        <v>0</v>
      </c>
      <c r="G133" s="166">
        <f t="shared" si="12"/>
        <v>29.14</v>
      </c>
      <c r="H133" s="44">
        <v>0.48</v>
      </c>
      <c r="I133" s="101">
        <f t="shared" si="16"/>
        <v>0</v>
      </c>
      <c r="J133" s="166">
        <f t="shared" si="13"/>
        <v>0</v>
      </c>
      <c r="K133" s="166">
        <f t="shared" si="15"/>
        <v>0</v>
      </c>
    </row>
    <row r="134" spans="2:11" ht="14.1" customHeight="1" x14ac:dyDescent="0.2">
      <c r="B134" s="8"/>
      <c r="C134" s="331"/>
      <c r="D134" s="44">
        <v>150</v>
      </c>
      <c r="E134" s="210">
        <v>35.36</v>
      </c>
      <c r="F134" s="38">
        <f t="shared" si="14"/>
        <v>0</v>
      </c>
      <c r="G134" s="166">
        <f t="shared" si="12"/>
        <v>35.36</v>
      </c>
      <c r="H134" s="44">
        <v>0.56000000000000005</v>
      </c>
      <c r="I134" s="101">
        <f t="shared" si="16"/>
        <v>0</v>
      </c>
      <c r="J134" s="166">
        <f t="shared" si="13"/>
        <v>0</v>
      </c>
      <c r="K134" s="166">
        <f t="shared" si="15"/>
        <v>0</v>
      </c>
    </row>
    <row r="135" spans="2:11" ht="14.1" customHeight="1" x14ac:dyDescent="0.2">
      <c r="B135" s="8"/>
      <c r="C135" s="331"/>
      <c r="D135" s="44">
        <v>200</v>
      </c>
      <c r="E135" s="210">
        <v>43.75</v>
      </c>
      <c r="F135" s="38">
        <f t="shared" si="14"/>
        <v>0</v>
      </c>
      <c r="G135" s="166">
        <f t="shared" si="12"/>
        <v>43.75</v>
      </c>
      <c r="H135" s="44">
        <v>0.65</v>
      </c>
      <c r="I135" s="101">
        <f t="shared" si="16"/>
        <v>0</v>
      </c>
      <c r="J135" s="166">
        <f t="shared" si="13"/>
        <v>0</v>
      </c>
      <c r="K135" s="166">
        <f t="shared" si="15"/>
        <v>0</v>
      </c>
    </row>
    <row r="136" spans="2:11" ht="14.1" customHeight="1" x14ac:dyDescent="0.2">
      <c r="B136" s="8"/>
      <c r="C136" s="331"/>
      <c r="D136" s="44">
        <v>250</v>
      </c>
      <c r="E136" s="210">
        <v>48.28</v>
      </c>
      <c r="F136" s="38">
        <f t="shared" si="14"/>
        <v>0</v>
      </c>
      <c r="G136" s="166">
        <f t="shared" si="12"/>
        <v>48.28</v>
      </c>
      <c r="H136" s="44">
        <v>0.73</v>
      </c>
      <c r="I136" s="101">
        <f t="shared" si="16"/>
        <v>0</v>
      </c>
      <c r="J136" s="166">
        <f t="shared" si="13"/>
        <v>0</v>
      </c>
      <c r="K136" s="166">
        <f t="shared" si="15"/>
        <v>0</v>
      </c>
    </row>
    <row r="137" spans="2:11" ht="14.1" customHeight="1" x14ac:dyDescent="0.2">
      <c r="B137" s="8"/>
      <c r="C137" s="331"/>
      <c r="D137" s="44">
        <v>300</v>
      </c>
      <c r="E137" s="210">
        <v>55.38</v>
      </c>
      <c r="F137" s="38">
        <f t="shared" si="14"/>
        <v>0</v>
      </c>
      <c r="G137" s="166">
        <f t="shared" si="12"/>
        <v>55.38</v>
      </c>
      <c r="H137" s="44">
        <v>0.81</v>
      </c>
      <c r="I137" s="101">
        <f t="shared" si="16"/>
        <v>0</v>
      </c>
      <c r="J137" s="166">
        <f t="shared" si="13"/>
        <v>0</v>
      </c>
      <c r="K137" s="166">
        <f t="shared" si="15"/>
        <v>0</v>
      </c>
    </row>
    <row r="138" spans="2:11" ht="14.1" customHeight="1" x14ac:dyDescent="0.2">
      <c r="B138" s="8"/>
      <c r="C138" s="331">
        <v>250</v>
      </c>
      <c r="D138" s="44">
        <v>100</v>
      </c>
      <c r="E138" s="210">
        <v>32.93</v>
      </c>
      <c r="F138" s="38">
        <f t="shared" si="14"/>
        <v>0</v>
      </c>
      <c r="G138" s="166">
        <f t="shared" si="12"/>
        <v>32.93</v>
      </c>
      <c r="H138" s="44">
        <v>0.56000000000000005</v>
      </c>
      <c r="I138" s="101">
        <f t="shared" si="16"/>
        <v>0</v>
      </c>
      <c r="J138" s="166">
        <f t="shared" si="13"/>
        <v>0</v>
      </c>
      <c r="K138" s="166">
        <f t="shared" si="15"/>
        <v>0</v>
      </c>
    </row>
    <row r="139" spans="2:11" ht="14.1" customHeight="1" x14ac:dyDescent="0.2">
      <c r="B139" s="8"/>
      <c r="C139" s="331"/>
      <c r="D139" s="44">
        <v>150</v>
      </c>
      <c r="E139" s="210">
        <v>41.92</v>
      </c>
      <c r="F139" s="38">
        <f t="shared" si="14"/>
        <v>0</v>
      </c>
      <c r="G139" s="166">
        <f t="shared" si="12"/>
        <v>41.92</v>
      </c>
      <c r="H139" s="44">
        <v>0.65</v>
      </c>
      <c r="I139" s="101">
        <f t="shared" si="16"/>
        <v>0</v>
      </c>
      <c r="J139" s="166">
        <f t="shared" si="13"/>
        <v>0</v>
      </c>
      <c r="K139" s="166">
        <f t="shared" si="15"/>
        <v>0</v>
      </c>
    </row>
    <row r="140" spans="2:11" ht="14.1" customHeight="1" x14ac:dyDescent="0.2">
      <c r="B140" s="8"/>
      <c r="C140" s="331"/>
      <c r="D140" s="44">
        <v>200</v>
      </c>
      <c r="E140" s="210">
        <v>51.12</v>
      </c>
      <c r="F140" s="38">
        <f t="shared" si="14"/>
        <v>0</v>
      </c>
      <c r="G140" s="166">
        <f t="shared" si="12"/>
        <v>51.12</v>
      </c>
      <c r="H140" s="44">
        <v>0.73</v>
      </c>
      <c r="I140" s="101">
        <f t="shared" si="16"/>
        <v>0</v>
      </c>
      <c r="J140" s="166">
        <f t="shared" si="13"/>
        <v>0</v>
      </c>
      <c r="K140" s="166">
        <f t="shared" si="15"/>
        <v>0</v>
      </c>
    </row>
    <row r="141" spans="2:11" ht="14.1" customHeight="1" x14ac:dyDescent="0.2">
      <c r="B141" s="8"/>
      <c r="C141" s="331"/>
      <c r="D141" s="44">
        <v>250</v>
      </c>
      <c r="E141" s="210">
        <v>56.53</v>
      </c>
      <c r="F141" s="38">
        <f t="shared" si="14"/>
        <v>0</v>
      </c>
      <c r="G141" s="166">
        <f t="shared" si="12"/>
        <v>56.53</v>
      </c>
      <c r="H141" s="44">
        <v>0.81</v>
      </c>
      <c r="I141" s="101">
        <f t="shared" si="16"/>
        <v>0</v>
      </c>
      <c r="J141" s="166">
        <f t="shared" si="13"/>
        <v>0</v>
      </c>
      <c r="K141" s="166">
        <f t="shared" si="15"/>
        <v>0</v>
      </c>
    </row>
    <row r="142" spans="2:11" ht="14.1" customHeight="1" x14ac:dyDescent="0.2">
      <c r="B142" s="8"/>
      <c r="C142" s="331"/>
      <c r="D142" s="44">
        <v>300</v>
      </c>
      <c r="E142" s="210">
        <v>65.319999999999993</v>
      </c>
      <c r="F142" s="38">
        <f t="shared" si="14"/>
        <v>0</v>
      </c>
      <c r="G142" s="166">
        <f t="shared" si="12"/>
        <v>65.319999999999993</v>
      </c>
      <c r="H142" s="44">
        <v>0.89</v>
      </c>
      <c r="I142" s="101">
        <f t="shared" si="16"/>
        <v>0</v>
      </c>
      <c r="J142" s="166">
        <f t="shared" si="13"/>
        <v>0</v>
      </c>
      <c r="K142" s="166">
        <f t="shared" si="15"/>
        <v>0</v>
      </c>
    </row>
    <row r="143" spans="2:11" ht="14.1" customHeight="1" x14ac:dyDescent="0.2">
      <c r="B143" s="8"/>
      <c r="C143" s="331">
        <v>300</v>
      </c>
      <c r="D143" s="44">
        <v>100</v>
      </c>
      <c r="E143" s="210">
        <v>38.340000000000003</v>
      </c>
      <c r="F143" s="38">
        <f t="shared" si="14"/>
        <v>0</v>
      </c>
      <c r="G143" s="166">
        <f t="shared" si="12"/>
        <v>38.340000000000003</v>
      </c>
      <c r="H143" s="44">
        <v>0.65</v>
      </c>
      <c r="I143" s="101">
        <f t="shared" si="16"/>
        <v>0</v>
      </c>
      <c r="J143" s="166">
        <f t="shared" si="13"/>
        <v>0</v>
      </c>
      <c r="K143" s="166">
        <f t="shared" si="15"/>
        <v>0</v>
      </c>
    </row>
    <row r="144" spans="2:11" ht="14.1" customHeight="1" x14ac:dyDescent="0.2">
      <c r="B144" s="8"/>
      <c r="C144" s="331"/>
      <c r="D144" s="44">
        <v>150</v>
      </c>
      <c r="E144" s="210">
        <v>48.28</v>
      </c>
      <c r="F144" s="38">
        <f t="shared" si="14"/>
        <v>0</v>
      </c>
      <c r="G144" s="166">
        <f t="shared" si="12"/>
        <v>48.28</v>
      </c>
      <c r="H144" s="44">
        <v>0.73</v>
      </c>
      <c r="I144" s="101">
        <f t="shared" si="16"/>
        <v>0</v>
      </c>
      <c r="J144" s="166">
        <f t="shared" si="13"/>
        <v>0</v>
      </c>
      <c r="K144" s="166">
        <f t="shared" si="15"/>
        <v>0</v>
      </c>
    </row>
    <row r="145" spans="2:11" ht="14.1" customHeight="1" x14ac:dyDescent="0.2">
      <c r="B145" s="8"/>
      <c r="C145" s="331"/>
      <c r="D145" s="44">
        <v>200</v>
      </c>
      <c r="E145" s="210">
        <v>61.06</v>
      </c>
      <c r="F145" s="38">
        <f t="shared" si="14"/>
        <v>0</v>
      </c>
      <c r="G145" s="166">
        <f t="shared" si="12"/>
        <v>61.06</v>
      </c>
      <c r="H145" s="44">
        <v>0.81</v>
      </c>
      <c r="I145" s="101">
        <f t="shared" si="16"/>
        <v>0</v>
      </c>
      <c r="J145" s="166">
        <f t="shared" si="13"/>
        <v>0</v>
      </c>
      <c r="K145" s="166">
        <f t="shared" si="15"/>
        <v>0</v>
      </c>
    </row>
    <row r="146" spans="2:11" ht="14.1" customHeight="1" x14ac:dyDescent="0.2">
      <c r="B146" s="8"/>
      <c r="C146" s="331"/>
      <c r="D146" s="44">
        <v>250</v>
      </c>
      <c r="E146" s="210">
        <v>68.16</v>
      </c>
      <c r="F146" s="38">
        <f t="shared" si="14"/>
        <v>0</v>
      </c>
      <c r="G146" s="166">
        <f t="shared" si="12"/>
        <v>68.16</v>
      </c>
      <c r="H146" s="44">
        <v>0.89</v>
      </c>
      <c r="I146" s="101">
        <f t="shared" si="16"/>
        <v>0</v>
      </c>
      <c r="J146" s="166">
        <f t="shared" si="13"/>
        <v>0</v>
      </c>
      <c r="K146" s="166">
        <f t="shared" si="15"/>
        <v>0</v>
      </c>
    </row>
    <row r="147" spans="2:11" ht="14.1" customHeight="1" x14ac:dyDescent="0.2">
      <c r="B147" s="8"/>
      <c r="C147" s="331"/>
      <c r="D147" s="44">
        <v>300</v>
      </c>
      <c r="E147" s="210">
        <v>72.42</v>
      </c>
      <c r="F147" s="38">
        <f t="shared" si="14"/>
        <v>0</v>
      </c>
      <c r="G147" s="166">
        <f t="shared" si="12"/>
        <v>72.42</v>
      </c>
      <c r="H147" s="44">
        <v>0.97</v>
      </c>
      <c r="I147" s="101">
        <f t="shared" si="16"/>
        <v>0</v>
      </c>
      <c r="J147" s="166">
        <f t="shared" si="13"/>
        <v>0</v>
      </c>
      <c r="K147" s="166">
        <f t="shared" si="15"/>
        <v>0</v>
      </c>
    </row>
    <row r="148" spans="2:11" ht="18" customHeight="1" x14ac:dyDescent="0.2">
      <c r="B148" s="22"/>
      <c r="C148" s="22"/>
      <c r="D148" s="22"/>
      <c r="E148" s="22"/>
      <c r="G148" s="100"/>
      <c r="H148" s="332" t="s">
        <v>85</v>
      </c>
      <c r="I148" s="332"/>
      <c r="J148" s="332"/>
      <c r="K148" s="170">
        <f>SUM(K123:K147)</f>
        <v>0</v>
      </c>
    </row>
    <row r="149" spans="2:11" ht="18" customHeight="1" x14ac:dyDescent="0.2">
      <c r="B149" s="22"/>
      <c r="C149" s="22"/>
      <c r="D149" s="22"/>
      <c r="E149" s="22"/>
      <c r="G149" s="100"/>
      <c r="H149" s="230" t="s">
        <v>265</v>
      </c>
      <c r="I149" s="230"/>
      <c r="J149" s="230"/>
      <c r="K149" s="145">
        <f>SUM(B123:B147)</f>
        <v>0</v>
      </c>
    </row>
    <row r="150" spans="2:11" ht="18" customHeight="1" x14ac:dyDescent="0.2">
      <c r="B150" s="22"/>
      <c r="C150" s="22"/>
      <c r="D150" s="22"/>
      <c r="E150" s="22"/>
      <c r="G150" s="100"/>
      <c r="H150" s="230" t="s">
        <v>266</v>
      </c>
      <c r="I150" s="230"/>
      <c r="J150" s="230"/>
      <c r="K150" s="145">
        <f>SUMPRODUCT(B123:B147,H123:H147)</f>
        <v>0</v>
      </c>
    </row>
    <row r="151" spans="2:11" ht="14.1" customHeight="1" x14ac:dyDescent="0.2">
      <c r="B151" s="22"/>
      <c r="C151" s="22"/>
      <c r="D151" s="22"/>
      <c r="E151" s="22"/>
      <c r="F151" s="22"/>
      <c r="G151" s="22"/>
      <c r="H151" s="22"/>
      <c r="I151" s="22"/>
      <c r="J151" s="22"/>
      <c r="K151" s="22"/>
    </row>
    <row r="152" spans="2:11" ht="14.1" customHeight="1" x14ac:dyDescent="0.2">
      <c r="B152" s="22"/>
      <c r="C152" s="22"/>
      <c r="D152" s="22"/>
      <c r="E152" s="22"/>
      <c r="F152" s="22"/>
      <c r="G152" s="22"/>
      <c r="H152" s="22"/>
      <c r="I152" s="22"/>
      <c r="J152" s="22"/>
      <c r="K152" s="22"/>
    </row>
    <row r="153" spans="2:11" ht="21" customHeight="1" x14ac:dyDescent="0.2">
      <c r="B153" s="227" t="s">
        <v>250</v>
      </c>
      <c r="C153" s="227"/>
      <c r="D153" s="227"/>
      <c r="E153" s="227"/>
      <c r="F153" s="227"/>
      <c r="G153" s="227"/>
      <c r="H153" s="227"/>
      <c r="I153" s="227"/>
      <c r="J153" s="227"/>
      <c r="K153" s="144" t="s">
        <v>50</v>
      </c>
    </row>
    <row r="154" spans="2:11" ht="21.75" customHeight="1" x14ac:dyDescent="0.2">
      <c r="B154" s="228" t="s">
        <v>255</v>
      </c>
      <c r="C154" s="230" t="s">
        <v>256</v>
      </c>
      <c r="D154" s="230"/>
      <c r="E154" s="228" t="s">
        <v>106</v>
      </c>
      <c r="F154" s="228" t="s">
        <v>254</v>
      </c>
      <c r="G154" s="228" t="s">
        <v>259</v>
      </c>
      <c r="H154" s="228" t="s">
        <v>61</v>
      </c>
      <c r="I154" s="228"/>
      <c r="J154" s="228"/>
      <c r="K154" s="228" t="s">
        <v>260</v>
      </c>
    </row>
    <row r="155" spans="2:11" ht="21.75" customHeight="1" x14ac:dyDescent="0.2">
      <c r="B155" s="230"/>
      <c r="C155" s="192" t="s">
        <v>257</v>
      </c>
      <c r="D155" s="192" t="s">
        <v>258</v>
      </c>
      <c r="E155" s="228"/>
      <c r="F155" s="230"/>
      <c r="G155" s="228"/>
      <c r="H155" s="139" t="s">
        <v>0</v>
      </c>
      <c r="I155" s="139" t="s">
        <v>2</v>
      </c>
      <c r="J155" s="139" t="s">
        <v>3</v>
      </c>
      <c r="K155" s="228"/>
    </row>
    <row r="156" spans="2:11" ht="14.1" customHeight="1" x14ac:dyDescent="0.2">
      <c r="B156" s="8"/>
      <c r="C156" s="44">
        <v>100</v>
      </c>
      <c r="D156" s="44">
        <v>100</v>
      </c>
      <c r="E156" s="166">
        <v>24.72</v>
      </c>
      <c r="F156" s="9">
        <v>0</v>
      </c>
      <c r="G156" s="166">
        <f t="shared" ref="G156:G187" si="17">E156-(E156*F156)</f>
        <v>24.72</v>
      </c>
      <c r="H156" s="44">
        <v>0.57999999999999996</v>
      </c>
      <c r="I156" s="9">
        <v>0</v>
      </c>
      <c r="J156" s="166">
        <f t="shared" ref="J156:J219" si="18">(2.4-(2.4*I156))*H156*B156</f>
        <v>0</v>
      </c>
      <c r="K156" s="166">
        <f>(B156*G156)+J156</f>
        <v>0</v>
      </c>
    </row>
    <row r="157" spans="2:11" ht="14.1" customHeight="1" x14ac:dyDescent="0.2">
      <c r="B157" s="8"/>
      <c r="C157" s="331">
        <v>150</v>
      </c>
      <c r="D157" s="44">
        <v>100</v>
      </c>
      <c r="E157" s="166">
        <v>26.68</v>
      </c>
      <c r="F157" s="38">
        <f t="shared" ref="F157:F188" si="19">$F$156</f>
        <v>0</v>
      </c>
      <c r="G157" s="166">
        <f t="shared" si="17"/>
        <v>26.68</v>
      </c>
      <c r="H157" s="44">
        <v>0.73</v>
      </c>
      <c r="I157" s="97">
        <f>$I$156</f>
        <v>0</v>
      </c>
      <c r="J157" s="166">
        <f t="shared" si="18"/>
        <v>0</v>
      </c>
      <c r="K157" s="166">
        <f t="shared" ref="K157:K220" si="20">(B157*G157)+J157</f>
        <v>0</v>
      </c>
    </row>
    <row r="158" spans="2:11" ht="14.1" customHeight="1" x14ac:dyDescent="0.2">
      <c r="B158" s="8"/>
      <c r="C158" s="331"/>
      <c r="D158" s="44">
        <v>150</v>
      </c>
      <c r="E158" s="166">
        <v>31.42</v>
      </c>
      <c r="F158" s="38">
        <f t="shared" si="19"/>
        <v>0</v>
      </c>
      <c r="G158" s="166">
        <f t="shared" si="17"/>
        <v>31.42</v>
      </c>
      <c r="H158" s="44">
        <v>0.44</v>
      </c>
      <c r="I158" s="97">
        <f t="shared" ref="I158:I221" si="21">$I$156</f>
        <v>0</v>
      </c>
      <c r="J158" s="166">
        <f t="shared" si="18"/>
        <v>0</v>
      </c>
      <c r="K158" s="166">
        <f t="shared" si="20"/>
        <v>0</v>
      </c>
    </row>
    <row r="159" spans="2:11" ht="14.1" customHeight="1" x14ac:dyDescent="0.2">
      <c r="B159" s="8"/>
      <c r="C159" s="331">
        <v>200</v>
      </c>
      <c r="D159" s="44">
        <v>100</v>
      </c>
      <c r="E159" s="166">
        <v>29.74</v>
      </c>
      <c r="F159" s="38">
        <f t="shared" si="19"/>
        <v>0</v>
      </c>
      <c r="G159" s="166">
        <f t="shared" si="17"/>
        <v>29.74</v>
      </c>
      <c r="H159" s="44">
        <v>0.87</v>
      </c>
      <c r="I159" s="97">
        <f t="shared" si="21"/>
        <v>0</v>
      </c>
      <c r="J159" s="166">
        <f t="shared" si="18"/>
        <v>0</v>
      </c>
      <c r="K159" s="166">
        <f t="shared" si="20"/>
        <v>0</v>
      </c>
    </row>
    <row r="160" spans="2:11" ht="14.1" customHeight="1" x14ac:dyDescent="0.2">
      <c r="B160" s="8"/>
      <c r="C160" s="331"/>
      <c r="D160" s="44">
        <v>150</v>
      </c>
      <c r="E160" s="166">
        <v>35.69</v>
      </c>
      <c r="F160" s="38">
        <f t="shared" si="19"/>
        <v>0</v>
      </c>
      <c r="G160" s="166">
        <f t="shared" si="17"/>
        <v>35.69</v>
      </c>
      <c r="H160" s="44">
        <v>0.44</v>
      </c>
      <c r="I160" s="97">
        <f t="shared" si="21"/>
        <v>0</v>
      </c>
      <c r="J160" s="166">
        <f t="shared" si="18"/>
        <v>0</v>
      </c>
      <c r="K160" s="166">
        <f t="shared" si="20"/>
        <v>0</v>
      </c>
    </row>
    <row r="161" spans="2:11" ht="14.1" customHeight="1" x14ac:dyDescent="0.2">
      <c r="B161" s="8"/>
      <c r="C161" s="331"/>
      <c r="D161" s="44">
        <v>200</v>
      </c>
      <c r="E161" s="166">
        <v>47.47</v>
      </c>
      <c r="F161" s="38">
        <f t="shared" si="19"/>
        <v>0</v>
      </c>
      <c r="G161" s="166">
        <f t="shared" si="17"/>
        <v>47.47</v>
      </c>
      <c r="H161" s="44">
        <v>0.57999999999999996</v>
      </c>
      <c r="I161" s="97">
        <f t="shared" si="21"/>
        <v>0</v>
      </c>
      <c r="J161" s="166">
        <f t="shared" si="18"/>
        <v>0</v>
      </c>
      <c r="K161" s="166">
        <f t="shared" si="20"/>
        <v>0</v>
      </c>
    </row>
    <row r="162" spans="2:11" ht="14.1" customHeight="1" x14ac:dyDescent="0.2">
      <c r="B162" s="8"/>
      <c r="C162" s="331">
        <v>225</v>
      </c>
      <c r="D162" s="44">
        <v>100</v>
      </c>
      <c r="E162" s="166">
        <v>32.11</v>
      </c>
      <c r="F162" s="38">
        <f t="shared" si="19"/>
        <v>0</v>
      </c>
      <c r="G162" s="166">
        <f t="shared" si="17"/>
        <v>32.11</v>
      </c>
      <c r="H162" s="44">
        <v>0.94</v>
      </c>
      <c r="I162" s="97">
        <f t="shared" si="21"/>
        <v>0</v>
      </c>
      <c r="J162" s="166">
        <f t="shared" si="18"/>
        <v>0</v>
      </c>
      <c r="K162" s="166">
        <f t="shared" si="20"/>
        <v>0</v>
      </c>
    </row>
    <row r="163" spans="2:11" ht="14.1" customHeight="1" x14ac:dyDescent="0.2">
      <c r="B163" s="8"/>
      <c r="C163" s="331"/>
      <c r="D163" s="44">
        <v>150</v>
      </c>
      <c r="E163" s="166">
        <v>37.36</v>
      </c>
      <c r="F163" s="38">
        <f t="shared" si="19"/>
        <v>0</v>
      </c>
      <c r="G163" s="166">
        <f t="shared" si="17"/>
        <v>37.36</v>
      </c>
      <c r="H163" s="44">
        <v>0.44</v>
      </c>
      <c r="I163" s="97">
        <f t="shared" si="21"/>
        <v>0</v>
      </c>
      <c r="J163" s="166">
        <f t="shared" si="18"/>
        <v>0</v>
      </c>
      <c r="K163" s="166">
        <f t="shared" si="20"/>
        <v>0</v>
      </c>
    </row>
    <row r="164" spans="2:11" ht="14.1" customHeight="1" x14ac:dyDescent="0.2">
      <c r="B164" s="8"/>
      <c r="C164" s="331"/>
      <c r="D164" s="44">
        <v>200</v>
      </c>
      <c r="E164" s="166">
        <v>49.95</v>
      </c>
      <c r="F164" s="38">
        <f t="shared" si="19"/>
        <v>0</v>
      </c>
      <c r="G164" s="166">
        <f t="shared" si="17"/>
        <v>49.95</v>
      </c>
      <c r="H164" s="44">
        <v>0.57999999999999996</v>
      </c>
      <c r="I164" s="97">
        <f t="shared" si="21"/>
        <v>0</v>
      </c>
      <c r="J164" s="166">
        <f t="shared" si="18"/>
        <v>0</v>
      </c>
      <c r="K164" s="166">
        <f t="shared" si="20"/>
        <v>0</v>
      </c>
    </row>
    <row r="165" spans="2:11" ht="14.1" customHeight="1" x14ac:dyDescent="0.2">
      <c r="B165" s="8"/>
      <c r="C165" s="331"/>
      <c r="D165" s="44">
        <v>225</v>
      </c>
      <c r="E165" s="166">
        <v>49.03</v>
      </c>
      <c r="F165" s="38">
        <f t="shared" si="19"/>
        <v>0</v>
      </c>
      <c r="G165" s="166">
        <f t="shared" si="17"/>
        <v>49.03</v>
      </c>
      <c r="H165" s="44">
        <v>0.65</v>
      </c>
      <c r="I165" s="97">
        <f t="shared" si="21"/>
        <v>0</v>
      </c>
      <c r="J165" s="166">
        <f t="shared" si="18"/>
        <v>0</v>
      </c>
      <c r="K165" s="166">
        <f t="shared" si="20"/>
        <v>0</v>
      </c>
    </row>
    <row r="166" spans="2:11" ht="14.1" customHeight="1" x14ac:dyDescent="0.2">
      <c r="B166" s="8"/>
      <c r="C166" s="331">
        <v>250</v>
      </c>
      <c r="D166" s="44">
        <v>100</v>
      </c>
      <c r="E166" s="166">
        <v>33.79</v>
      </c>
      <c r="F166" s="38">
        <f t="shared" si="19"/>
        <v>0</v>
      </c>
      <c r="G166" s="166">
        <f t="shared" si="17"/>
        <v>33.79</v>
      </c>
      <c r="H166" s="44">
        <v>1.02</v>
      </c>
      <c r="I166" s="97">
        <f t="shared" si="21"/>
        <v>0</v>
      </c>
      <c r="J166" s="166">
        <f t="shared" si="18"/>
        <v>0</v>
      </c>
      <c r="K166" s="166">
        <f t="shared" si="20"/>
        <v>0</v>
      </c>
    </row>
    <row r="167" spans="2:11" ht="14.1" customHeight="1" x14ac:dyDescent="0.2">
      <c r="B167" s="8"/>
      <c r="C167" s="331"/>
      <c r="D167" s="44">
        <v>150</v>
      </c>
      <c r="E167" s="166">
        <v>40.71</v>
      </c>
      <c r="F167" s="38">
        <f t="shared" si="19"/>
        <v>0</v>
      </c>
      <c r="G167" s="166">
        <f t="shared" si="17"/>
        <v>40.71</v>
      </c>
      <c r="H167" s="44">
        <v>0.44</v>
      </c>
      <c r="I167" s="97">
        <f t="shared" si="21"/>
        <v>0</v>
      </c>
      <c r="J167" s="166">
        <f t="shared" si="18"/>
        <v>0</v>
      </c>
      <c r="K167" s="166">
        <f t="shared" si="20"/>
        <v>0</v>
      </c>
    </row>
    <row r="168" spans="2:11" ht="14.1" customHeight="1" x14ac:dyDescent="0.2">
      <c r="B168" s="8"/>
      <c r="C168" s="331"/>
      <c r="D168" s="44">
        <v>200</v>
      </c>
      <c r="E168" s="166">
        <v>51.86</v>
      </c>
      <c r="F168" s="38">
        <f t="shared" si="19"/>
        <v>0</v>
      </c>
      <c r="G168" s="166">
        <f t="shared" si="17"/>
        <v>51.86</v>
      </c>
      <c r="H168" s="44">
        <v>0.57999999999999996</v>
      </c>
      <c r="I168" s="97">
        <f t="shared" si="21"/>
        <v>0</v>
      </c>
      <c r="J168" s="166">
        <f t="shared" si="18"/>
        <v>0</v>
      </c>
      <c r="K168" s="166">
        <f t="shared" si="20"/>
        <v>0</v>
      </c>
    </row>
    <row r="169" spans="2:11" ht="14.1" customHeight="1" x14ac:dyDescent="0.2">
      <c r="B169" s="8"/>
      <c r="C169" s="331"/>
      <c r="D169" s="44">
        <v>225</v>
      </c>
      <c r="E169" s="166">
        <v>51.39</v>
      </c>
      <c r="F169" s="38">
        <f t="shared" si="19"/>
        <v>0</v>
      </c>
      <c r="G169" s="166">
        <f t="shared" si="17"/>
        <v>51.39</v>
      </c>
      <c r="H169" s="44">
        <v>0.65</v>
      </c>
      <c r="I169" s="97">
        <f t="shared" si="21"/>
        <v>0</v>
      </c>
      <c r="J169" s="166">
        <f t="shared" si="18"/>
        <v>0</v>
      </c>
      <c r="K169" s="166">
        <f t="shared" si="20"/>
        <v>0</v>
      </c>
    </row>
    <row r="170" spans="2:11" ht="14.1" customHeight="1" x14ac:dyDescent="0.2">
      <c r="B170" s="8"/>
      <c r="C170" s="331"/>
      <c r="D170" s="44">
        <v>250</v>
      </c>
      <c r="E170" s="166">
        <v>63.06</v>
      </c>
      <c r="F170" s="38">
        <f t="shared" si="19"/>
        <v>0</v>
      </c>
      <c r="G170" s="166">
        <f t="shared" si="17"/>
        <v>63.06</v>
      </c>
      <c r="H170" s="44">
        <v>0.73</v>
      </c>
      <c r="I170" s="97">
        <f t="shared" si="21"/>
        <v>0</v>
      </c>
      <c r="J170" s="166">
        <f t="shared" si="18"/>
        <v>0</v>
      </c>
      <c r="K170" s="166">
        <f t="shared" si="20"/>
        <v>0</v>
      </c>
    </row>
    <row r="171" spans="2:11" ht="14.1" customHeight="1" x14ac:dyDescent="0.2">
      <c r="B171" s="8"/>
      <c r="C171" s="331">
        <v>300</v>
      </c>
      <c r="D171" s="44">
        <v>100</v>
      </c>
      <c r="E171" s="166">
        <v>36.9</v>
      </c>
      <c r="F171" s="38">
        <f t="shared" si="19"/>
        <v>0</v>
      </c>
      <c r="G171" s="166">
        <f t="shared" si="17"/>
        <v>36.9</v>
      </c>
      <c r="H171" s="44">
        <v>1.1599999999999999</v>
      </c>
      <c r="I171" s="97">
        <f t="shared" si="21"/>
        <v>0</v>
      </c>
      <c r="J171" s="166">
        <f t="shared" si="18"/>
        <v>0</v>
      </c>
      <c r="K171" s="166">
        <f t="shared" si="20"/>
        <v>0</v>
      </c>
    </row>
    <row r="172" spans="2:11" ht="14.1" customHeight="1" x14ac:dyDescent="0.2">
      <c r="B172" s="8"/>
      <c r="C172" s="331"/>
      <c r="D172" s="44">
        <v>150</v>
      </c>
      <c r="E172" s="166">
        <v>44.01</v>
      </c>
      <c r="F172" s="38">
        <f t="shared" si="19"/>
        <v>0</v>
      </c>
      <c r="G172" s="166">
        <f t="shared" si="17"/>
        <v>44.01</v>
      </c>
      <c r="H172" s="44">
        <v>0.44</v>
      </c>
      <c r="I172" s="97">
        <f t="shared" si="21"/>
        <v>0</v>
      </c>
      <c r="J172" s="166">
        <f t="shared" si="18"/>
        <v>0</v>
      </c>
      <c r="K172" s="166">
        <f t="shared" si="20"/>
        <v>0</v>
      </c>
    </row>
    <row r="173" spans="2:11" ht="14.1" customHeight="1" x14ac:dyDescent="0.2">
      <c r="B173" s="8"/>
      <c r="C173" s="331"/>
      <c r="D173" s="44">
        <v>200</v>
      </c>
      <c r="E173" s="166">
        <v>59.48</v>
      </c>
      <c r="F173" s="38">
        <f t="shared" si="19"/>
        <v>0</v>
      </c>
      <c r="G173" s="166">
        <f t="shared" si="17"/>
        <v>59.48</v>
      </c>
      <c r="H173" s="44">
        <v>0.57999999999999996</v>
      </c>
      <c r="I173" s="97">
        <f t="shared" si="21"/>
        <v>0</v>
      </c>
      <c r="J173" s="166">
        <f t="shared" si="18"/>
        <v>0</v>
      </c>
      <c r="K173" s="166">
        <f t="shared" si="20"/>
        <v>0</v>
      </c>
    </row>
    <row r="174" spans="2:11" ht="14.1" customHeight="1" x14ac:dyDescent="0.2">
      <c r="B174" s="8"/>
      <c r="C174" s="331"/>
      <c r="D174" s="44">
        <v>225</v>
      </c>
      <c r="E174" s="166">
        <v>54</v>
      </c>
      <c r="F174" s="38">
        <f t="shared" si="19"/>
        <v>0</v>
      </c>
      <c r="G174" s="166">
        <f t="shared" si="17"/>
        <v>54</v>
      </c>
      <c r="H174" s="44">
        <v>0.65</v>
      </c>
      <c r="I174" s="97">
        <f t="shared" si="21"/>
        <v>0</v>
      </c>
      <c r="J174" s="166">
        <f t="shared" si="18"/>
        <v>0</v>
      </c>
      <c r="K174" s="166">
        <f t="shared" si="20"/>
        <v>0</v>
      </c>
    </row>
    <row r="175" spans="2:11" ht="14.1" customHeight="1" x14ac:dyDescent="0.2">
      <c r="B175" s="8"/>
      <c r="C175" s="331"/>
      <c r="D175" s="44">
        <v>250</v>
      </c>
      <c r="E175" s="166">
        <v>65.66</v>
      </c>
      <c r="F175" s="38">
        <f t="shared" si="19"/>
        <v>0</v>
      </c>
      <c r="G175" s="166">
        <f t="shared" si="17"/>
        <v>65.66</v>
      </c>
      <c r="H175" s="44">
        <v>0.73</v>
      </c>
      <c r="I175" s="97">
        <f t="shared" si="21"/>
        <v>0</v>
      </c>
      <c r="J175" s="166">
        <f t="shared" si="18"/>
        <v>0</v>
      </c>
      <c r="K175" s="166">
        <f t="shared" si="20"/>
        <v>0</v>
      </c>
    </row>
    <row r="176" spans="2:11" ht="14.1" customHeight="1" x14ac:dyDescent="0.2">
      <c r="B176" s="8"/>
      <c r="C176" s="331"/>
      <c r="D176" s="44">
        <v>300</v>
      </c>
      <c r="E176" s="166">
        <v>79.349999999999994</v>
      </c>
      <c r="F176" s="38">
        <f t="shared" si="19"/>
        <v>0</v>
      </c>
      <c r="G176" s="166">
        <f t="shared" si="17"/>
        <v>79.349999999999994</v>
      </c>
      <c r="H176" s="44">
        <v>0.87</v>
      </c>
      <c r="I176" s="97">
        <f t="shared" si="21"/>
        <v>0</v>
      </c>
      <c r="J176" s="166">
        <f t="shared" si="18"/>
        <v>0</v>
      </c>
      <c r="K176" s="166">
        <f t="shared" si="20"/>
        <v>0</v>
      </c>
    </row>
    <row r="177" spans="2:11" ht="14.1" customHeight="1" x14ac:dyDescent="0.2">
      <c r="B177" s="8"/>
      <c r="C177" s="331">
        <v>350</v>
      </c>
      <c r="D177" s="44">
        <v>100</v>
      </c>
      <c r="E177" s="166">
        <v>47.12</v>
      </c>
      <c r="F177" s="38">
        <f t="shared" si="19"/>
        <v>0</v>
      </c>
      <c r="G177" s="166">
        <f t="shared" si="17"/>
        <v>47.12</v>
      </c>
      <c r="H177" s="44">
        <v>1.31</v>
      </c>
      <c r="I177" s="97">
        <f t="shared" si="21"/>
        <v>0</v>
      </c>
      <c r="J177" s="166">
        <f t="shared" si="18"/>
        <v>0</v>
      </c>
      <c r="K177" s="166">
        <f t="shared" si="20"/>
        <v>0</v>
      </c>
    </row>
    <row r="178" spans="2:11" ht="14.1" customHeight="1" x14ac:dyDescent="0.2">
      <c r="B178" s="8"/>
      <c r="C178" s="331"/>
      <c r="D178" s="44">
        <v>150</v>
      </c>
      <c r="E178" s="166">
        <v>56.13</v>
      </c>
      <c r="F178" s="38">
        <f t="shared" si="19"/>
        <v>0</v>
      </c>
      <c r="G178" s="166">
        <f t="shared" si="17"/>
        <v>56.13</v>
      </c>
      <c r="H178" s="44">
        <v>0.44</v>
      </c>
      <c r="I178" s="97">
        <f t="shared" si="21"/>
        <v>0</v>
      </c>
      <c r="J178" s="166">
        <f t="shared" si="18"/>
        <v>0</v>
      </c>
      <c r="K178" s="166">
        <f t="shared" si="20"/>
        <v>0</v>
      </c>
    </row>
    <row r="179" spans="2:11" ht="14.1" customHeight="1" x14ac:dyDescent="0.2">
      <c r="B179" s="8"/>
      <c r="C179" s="331"/>
      <c r="D179" s="44">
        <v>200</v>
      </c>
      <c r="E179" s="166">
        <v>64.22</v>
      </c>
      <c r="F179" s="38">
        <f t="shared" si="19"/>
        <v>0</v>
      </c>
      <c r="G179" s="166">
        <f t="shared" si="17"/>
        <v>64.22</v>
      </c>
      <c r="H179" s="44">
        <v>0.57999999999999996</v>
      </c>
      <c r="I179" s="97">
        <f t="shared" si="21"/>
        <v>0</v>
      </c>
      <c r="J179" s="166">
        <f t="shared" si="18"/>
        <v>0</v>
      </c>
      <c r="K179" s="166">
        <f t="shared" si="20"/>
        <v>0</v>
      </c>
    </row>
    <row r="180" spans="2:11" ht="14.1" customHeight="1" x14ac:dyDescent="0.2">
      <c r="B180" s="8"/>
      <c r="C180" s="331"/>
      <c r="D180" s="44">
        <v>225</v>
      </c>
      <c r="E180" s="166">
        <v>67.569999999999993</v>
      </c>
      <c r="F180" s="38">
        <f t="shared" si="19"/>
        <v>0</v>
      </c>
      <c r="G180" s="166">
        <f t="shared" si="17"/>
        <v>67.569999999999993</v>
      </c>
      <c r="H180" s="44">
        <v>0.65</v>
      </c>
      <c r="I180" s="97">
        <f t="shared" si="21"/>
        <v>0</v>
      </c>
      <c r="J180" s="166">
        <f t="shared" si="18"/>
        <v>0</v>
      </c>
      <c r="K180" s="166">
        <f t="shared" si="20"/>
        <v>0</v>
      </c>
    </row>
    <row r="181" spans="2:11" ht="14.1" customHeight="1" x14ac:dyDescent="0.2">
      <c r="B181" s="8"/>
      <c r="C181" s="331"/>
      <c r="D181" s="44">
        <v>250</v>
      </c>
      <c r="E181" s="166">
        <v>71.150000000000006</v>
      </c>
      <c r="F181" s="38">
        <f t="shared" si="19"/>
        <v>0</v>
      </c>
      <c r="G181" s="166">
        <f t="shared" si="17"/>
        <v>71.150000000000006</v>
      </c>
      <c r="H181" s="44">
        <v>0.73</v>
      </c>
      <c r="I181" s="97">
        <f t="shared" si="21"/>
        <v>0</v>
      </c>
      <c r="J181" s="166">
        <f t="shared" si="18"/>
        <v>0</v>
      </c>
      <c r="K181" s="166">
        <f t="shared" si="20"/>
        <v>0</v>
      </c>
    </row>
    <row r="182" spans="2:11" ht="14.1" customHeight="1" x14ac:dyDescent="0.2">
      <c r="B182" s="8"/>
      <c r="C182" s="331"/>
      <c r="D182" s="44">
        <v>300</v>
      </c>
      <c r="E182" s="166">
        <v>86.86</v>
      </c>
      <c r="F182" s="38">
        <f t="shared" si="19"/>
        <v>0</v>
      </c>
      <c r="G182" s="166">
        <f t="shared" si="17"/>
        <v>86.86</v>
      </c>
      <c r="H182" s="44">
        <v>0.87</v>
      </c>
      <c r="I182" s="97">
        <f t="shared" si="21"/>
        <v>0</v>
      </c>
      <c r="J182" s="166">
        <f t="shared" si="18"/>
        <v>0</v>
      </c>
      <c r="K182" s="166">
        <f t="shared" si="20"/>
        <v>0</v>
      </c>
    </row>
    <row r="183" spans="2:11" ht="14.1" customHeight="1" x14ac:dyDescent="0.2">
      <c r="B183" s="8"/>
      <c r="C183" s="331"/>
      <c r="D183" s="44">
        <v>350</v>
      </c>
      <c r="E183" s="166">
        <v>99.45</v>
      </c>
      <c r="F183" s="38">
        <f t="shared" si="19"/>
        <v>0</v>
      </c>
      <c r="G183" s="166">
        <f t="shared" si="17"/>
        <v>99.45</v>
      </c>
      <c r="H183" s="44">
        <v>1.02</v>
      </c>
      <c r="I183" s="97">
        <f t="shared" si="21"/>
        <v>0</v>
      </c>
      <c r="J183" s="166">
        <f t="shared" si="18"/>
        <v>0</v>
      </c>
      <c r="K183" s="166">
        <f t="shared" si="20"/>
        <v>0</v>
      </c>
    </row>
    <row r="184" spans="2:11" ht="14.1" customHeight="1" x14ac:dyDescent="0.2">
      <c r="B184" s="8"/>
      <c r="C184" s="331">
        <v>400</v>
      </c>
      <c r="D184" s="44">
        <v>100</v>
      </c>
      <c r="E184" s="166">
        <v>51.17</v>
      </c>
      <c r="F184" s="38">
        <f t="shared" si="19"/>
        <v>0</v>
      </c>
      <c r="G184" s="166">
        <f t="shared" si="17"/>
        <v>51.17</v>
      </c>
      <c r="H184" s="44">
        <v>1.45</v>
      </c>
      <c r="I184" s="97">
        <f t="shared" si="21"/>
        <v>0</v>
      </c>
      <c r="J184" s="166">
        <f t="shared" si="18"/>
        <v>0</v>
      </c>
      <c r="K184" s="166">
        <f t="shared" si="20"/>
        <v>0</v>
      </c>
    </row>
    <row r="185" spans="2:11" ht="14.1" customHeight="1" x14ac:dyDescent="0.2">
      <c r="B185" s="8"/>
      <c r="C185" s="331"/>
      <c r="D185" s="44">
        <v>150</v>
      </c>
      <c r="E185" s="166">
        <v>60.93</v>
      </c>
      <c r="F185" s="38">
        <f t="shared" si="19"/>
        <v>0</v>
      </c>
      <c r="G185" s="166">
        <f t="shared" si="17"/>
        <v>60.93</v>
      </c>
      <c r="H185" s="44">
        <v>0.44</v>
      </c>
      <c r="I185" s="97">
        <f t="shared" si="21"/>
        <v>0</v>
      </c>
      <c r="J185" s="166">
        <f t="shared" si="18"/>
        <v>0</v>
      </c>
      <c r="K185" s="166">
        <f t="shared" si="20"/>
        <v>0</v>
      </c>
    </row>
    <row r="186" spans="2:11" ht="14.1" customHeight="1" x14ac:dyDescent="0.2">
      <c r="B186" s="8"/>
      <c r="C186" s="331"/>
      <c r="D186" s="44">
        <v>200</v>
      </c>
      <c r="E186" s="166">
        <v>71.61</v>
      </c>
      <c r="F186" s="38">
        <f t="shared" si="19"/>
        <v>0</v>
      </c>
      <c r="G186" s="166">
        <f t="shared" si="17"/>
        <v>71.61</v>
      </c>
      <c r="H186" s="44">
        <v>0.57999999999999996</v>
      </c>
      <c r="I186" s="97">
        <f t="shared" si="21"/>
        <v>0</v>
      </c>
      <c r="J186" s="166">
        <f t="shared" si="18"/>
        <v>0</v>
      </c>
      <c r="K186" s="166">
        <f t="shared" si="20"/>
        <v>0</v>
      </c>
    </row>
    <row r="187" spans="2:11" ht="14.1" customHeight="1" x14ac:dyDescent="0.2">
      <c r="B187" s="8"/>
      <c r="C187" s="331"/>
      <c r="D187" s="44">
        <v>225</v>
      </c>
      <c r="E187" s="166">
        <v>71.36</v>
      </c>
      <c r="F187" s="38">
        <f t="shared" si="19"/>
        <v>0</v>
      </c>
      <c r="G187" s="166">
        <f t="shared" si="17"/>
        <v>71.36</v>
      </c>
      <c r="H187" s="44">
        <v>0.65</v>
      </c>
      <c r="I187" s="97">
        <f t="shared" si="21"/>
        <v>0</v>
      </c>
      <c r="J187" s="166">
        <f t="shared" si="18"/>
        <v>0</v>
      </c>
      <c r="K187" s="166">
        <f t="shared" si="20"/>
        <v>0</v>
      </c>
    </row>
    <row r="188" spans="2:11" ht="14.1" customHeight="1" x14ac:dyDescent="0.2">
      <c r="B188" s="8"/>
      <c r="C188" s="331"/>
      <c r="D188" s="44">
        <v>250</v>
      </c>
      <c r="E188" s="166">
        <v>83.28</v>
      </c>
      <c r="F188" s="38">
        <f t="shared" si="19"/>
        <v>0</v>
      </c>
      <c r="G188" s="166">
        <f t="shared" ref="G188:G219" si="22">E188-(E188*F188)</f>
        <v>83.28</v>
      </c>
      <c r="H188" s="44">
        <v>0.73</v>
      </c>
      <c r="I188" s="97">
        <f t="shared" si="21"/>
        <v>0</v>
      </c>
      <c r="J188" s="166">
        <f t="shared" si="18"/>
        <v>0</v>
      </c>
      <c r="K188" s="166">
        <f t="shared" si="20"/>
        <v>0</v>
      </c>
    </row>
    <row r="189" spans="2:11" ht="14.1" customHeight="1" x14ac:dyDescent="0.2">
      <c r="B189" s="8"/>
      <c r="C189" s="331"/>
      <c r="D189" s="44">
        <v>300</v>
      </c>
      <c r="E189" s="166">
        <v>94.71</v>
      </c>
      <c r="F189" s="38">
        <f t="shared" ref="F189:F220" si="23">$F$156</f>
        <v>0</v>
      </c>
      <c r="G189" s="166">
        <f t="shared" si="22"/>
        <v>94.71</v>
      </c>
      <c r="H189" s="44">
        <v>0.87</v>
      </c>
      <c r="I189" s="97">
        <f t="shared" si="21"/>
        <v>0</v>
      </c>
      <c r="J189" s="166">
        <f t="shared" si="18"/>
        <v>0</v>
      </c>
      <c r="K189" s="166">
        <f t="shared" si="20"/>
        <v>0</v>
      </c>
    </row>
    <row r="190" spans="2:11" ht="14.1" customHeight="1" x14ac:dyDescent="0.2">
      <c r="B190" s="8"/>
      <c r="C190" s="331"/>
      <c r="D190" s="44">
        <v>350</v>
      </c>
      <c r="E190" s="166">
        <v>135.13999999999999</v>
      </c>
      <c r="F190" s="38">
        <f t="shared" si="23"/>
        <v>0</v>
      </c>
      <c r="G190" s="166">
        <f t="shared" si="22"/>
        <v>135.13999999999999</v>
      </c>
      <c r="H190" s="44">
        <v>1.02</v>
      </c>
      <c r="I190" s="97">
        <f t="shared" si="21"/>
        <v>0</v>
      </c>
      <c r="J190" s="166">
        <f t="shared" si="18"/>
        <v>0</v>
      </c>
      <c r="K190" s="166">
        <f t="shared" si="20"/>
        <v>0</v>
      </c>
    </row>
    <row r="191" spans="2:11" ht="14.1" customHeight="1" x14ac:dyDescent="0.2">
      <c r="B191" s="8"/>
      <c r="C191" s="331"/>
      <c r="D191" s="44">
        <v>400</v>
      </c>
      <c r="E191" s="166">
        <v>150.85</v>
      </c>
      <c r="F191" s="38">
        <f t="shared" si="23"/>
        <v>0</v>
      </c>
      <c r="G191" s="166">
        <f t="shared" si="22"/>
        <v>150.85</v>
      </c>
      <c r="H191" s="44">
        <v>1.1599999999999999</v>
      </c>
      <c r="I191" s="97">
        <f t="shared" si="21"/>
        <v>0</v>
      </c>
      <c r="J191" s="166">
        <f t="shared" si="18"/>
        <v>0</v>
      </c>
      <c r="K191" s="166">
        <f t="shared" si="20"/>
        <v>0</v>
      </c>
    </row>
    <row r="192" spans="2:11" ht="14.1" customHeight="1" x14ac:dyDescent="0.2">
      <c r="B192" s="8"/>
      <c r="C192" s="331">
        <v>450</v>
      </c>
      <c r="D192" s="44">
        <v>100</v>
      </c>
      <c r="E192" s="166">
        <v>54.75</v>
      </c>
      <c r="F192" s="38">
        <f t="shared" si="23"/>
        <v>0</v>
      </c>
      <c r="G192" s="166">
        <f t="shared" si="22"/>
        <v>54.75</v>
      </c>
      <c r="H192" s="44">
        <v>1.6</v>
      </c>
      <c r="I192" s="97">
        <f t="shared" si="21"/>
        <v>0</v>
      </c>
      <c r="J192" s="166">
        <f t="shared" si="18"/>
        <v>0</v>
      </c>
      <c r="K192" s="166">
        <f t="shared" si="20"/>
        <v>0</v>
      </c>
    </row>
    <row r="193" spans="2:11" ht="14.1" customHeight="1" x14ac:dyDescent="0.2">
      <c r="B193" s="8"/>
      <c r="C193" s="331"/>
      <c r="D193" s="44">
        <v>150</v>
      </c>
      <c r="E193" s="166">
        <v>50.82</v>
      </c>
      <c r="F193" s="38">
        <f t="shared" si="23"/>
        <v>0</v>
      </c>
      <c r="G193" s="166">
        <f t="shared" si="22"/>
        <v>50.82</v>
      </c>
      <c r="H193" s="44">
        <v>0.44</v>
      </c>
      <c r="I193" s="97">
        <f t="shared" si="21"/>
        <v>0</v>
      </c>
      <c r="J193" s="166">
        <f t="shared" si="18"/>
        <v>0</v>
      </c>
      <c r="K193" s="166">
        <f t="shared" si="20"/>
        <v>0</v>
      </c>
    </row>
    <row r="194" spans="2:11" ht="14.1" customHeight="1" x14ac:dyDescent="0.2">
      <c r="B194" s="8"/>
      <c r="C194" s="331"/>
      <c r="D194" s="44">
        <v>200</v>
      </c>
      <c r="E194" s="166">
        <v>75.19</v>
      </c>
      <c r="F194" s="38">
        <f t="shared" si="23"/>
        <v>0</v>
      </c>
      <c r="G194" s="166">
        <f t="shared" si="22"/>
        <v>75.19</v>
      </c>
      <c r="H194" s="44">
        <v>0.57999999999999996</v>
      </c>
      <c r="I194" s="97">
        <f t="shared" si="21"/>
        <v>0</v>
      </c>
      <c r="J194" s="166">
        <f t="shared" si="18"/>
        <v>0</v>
      </c>
      <c r="K194" s="166">
        <f t="shared" si="20"/>
        <v>0</v>
      </c>
    </row>
    <row r="195" spans="2:11" ht="14.1" customHeight="1" x14ac:dyDescent="0.2">
      <c r="B195" s="8"/>
      <c r="C195" s="331"/>
      <c r="D195" s="44">
        <v>225</v>
      </c>
      <c r="E195" s="166">
        <v>74.959999999999994</v>
      </c>
      <c r="F195" s="38">
        <f t="shared" si="23"/>
        <v>0</v>
      </c>
      <c r="G195" s="166">
        <f t="shared" si="22"/>
        <v>74.959999999999994</v>
      </c>
      <c r="H195" s="44">
        <v>0.65</v>
      </c>
      <c r="I195" s="97">
        <f t="shared" si="21"/>
        <v>0</v>
      </c>
      <c r="J195" s="166">
        <f t="shared" si="18"/>
        <v>0</v>
      </c>
      <c r="K195" s="166">
        <f t="shared" si="20"/>
        <v>0</v>
      </c>
    </row>
    <row r="196" spans="2:11" ht="14.1" customHeight="1" x14ac:dyDescent="0.2">
      <c r="B196" s="8"/>
      <c r="C196" s="331"/>
      <c r="D196" s="44">
        <v>250</v>
      </c>
      <c r="E196" s="166">
        <v>86.63</v>
      </c>
      <c r="F196" s="38">
        <f t="shared" si="23"/>
        <v>0</v>
      </c>
      <c r="G196" s="166">
        <f t="shared" si="22"/>
        <v>86.63</v>
      </c>
      <c r="H196" s="44">
        <v>0.73</v>
      </c>
      <c r="I196" s="97">
        <f t="shared" si="21"/>
        <v>0</v>
      </c>
      <c r="J196" s="166">
        <f t="shared" si="18"/>
        <v>0</v>
      </c>
      <c r="K196" s="166">
        <f t="shared" si="20"/>
        <v>0</v>
      </c>
    </row>
    <row r="197" spans="2:11" ht="14.1" customHeight="1" x14ac:dyDescent="0.2">
      <c r="B197" s="8"/>
      <c r="C197" s="331"/>
      <c r="D197" s="44">
        <v>300</v>
      </c>
      <c r="E197" s="166">
        <v>107.07</v>
      </c>
      <c r="F197" s="38">
        <f t="shared" si="23"/>
        <v>0</v>
      </c>
      <c r="G197" s="166">
        <f t="shared" si="22"/>
        <v>107.07</v>
      </c>
      <c r="H197" s="44">
        <v>0.87</v>
      </c>
      <c r="I197" s="97">
        <f t="shared" si="21"/>
        <v>0</v>
      </c>
      <c r="J197" s="166">
        <f t="shared" si="18"/>
        <v>0</v>
      </c>
      <c r="K197" s="166">
        <f t="shared" si="20"/>
        <v>0</v>
      </c>
    </row>
    <row r="198" spans="2:11" ht="14.1" customHeight="1" x14ac:dyDescent="0.2">
      <c r="B198" s="8"/>
      <c r="C198" s="331"/>
      <c r="D198" s="44">
        <v>350</v>
      </c>
      <c r="E198" s="166">
        <v>146.11000000000001</v>
      </c>
      <c r="F198" s="38">
        <f t="shared" si="23"/>
        <v>0</v>
      </c>
      <c r="G198" s="166">
        <f t="shared" si="22"/>
        <v>146.11000000000001</v>
      </c>
      <c r="H198" s="44">
        <v>1.02</v>
      </c>
      <c r="I198" s="97">
        <f t="shared" si="21"/>
        <v>0</v>
      </c>
      <c r="J198" s="166">
        <f t="shared" si="18"/>
        <v>0</v>
      </c>
      <c r="K198" s="166">
        <f t="shared" si="20"/>
        <v>0</v>
      </c>
    </row>
    <row r="199" spans="2:11" ht="14.1" customHeight="1" x14ac:dyDescent="0.2">
      <c r="B199" s="8"/>
      <c r="C199" s="331"/>
      <c r="D199" s="44">
        <v>400</v>
      </c>
      <c r="E199" s="166">
        <v>164.18</v>
      </c>
      <c r="F199" s="38">
        <f t="shared" si="23"/>
        <v>0</v>
      </c>
      <c r="G199" s="166">
        <f t="shared" si="22"/>
        <v>164.18</v>
      </c>
      <c r="H199" s="44">
        <v>1.1599999999999999</v>
      </c>
      <c r="I199" s="97">
        <f t="shared" si="21"/>
        <v>0</v>
      </c>
      <c r="J199" s="166">
        <f t="shared" si="18"/>
        <v>0</v>
      </c>
      <c r="K199" s="166">
        <f t="shared" si="20"/>
        <v>0</v>
      </c>
    </row>
    <row r="200" spans="2:11" ht="14.1" customHeight="1" x14ac:dyDescent="0.2">
      <c r="B200" s="8"/>
      <c r="C200" s="331"/>
      <c r="D200" s="44">
        <v>450</v>
      </c>
      <c r="E200" s="166">
        <v>181.8</v>
      </c>
      <c r="F200" s="38">
        <f t="shared" si="23"/>
        <v>0</v>
      </c>
      <c r="G200" s="166">
        <f t="shared" si="22"/>
        <v>181.8</v>
      </c>
      <c r="H200" s="44">
        <v>1.31</v>
      </c>
      <c r="I200" s="97">
        <f t="shared" si="21"/>
        <v>0</v>
      </c>
      <c r="J200" s="166">
        <f t="shared" si="18"/>
        <v>0</v>
      </c>
      <c r="K200" s="166">
        <f t="shared" si="20"/>
        <v>0</v>
      </c>
    </row>
    <row r="201" spans="2:11" ht="14.1" customHeight="1" x14ac:dyDescent="0.2">
      <c r="B201" s="8"/>
      <c r="C201" s="331">
        <v>500</v>
      </c>
      <c r="D201" s="44">
        <v>100</v>
      </c>
      <c r="E201" s="166">
        <v>59.48</v>
      </c>
      <c r="F201" s="38">
        <f t="shared" si="23"/>
        <v>0</v>
      </c>
      <c r="G201" s="166">
        <f t="shared" si="22"/>
        <v>59.48</v>
      </c>
      <c r="H201" s="44">
        <v>1.74</v>
      </c>
      <c r="I201" s="97">
        <f t="shared" si="21"/>
        <v>0</v>
      </c>
      <c r="J201" s="166">
        <f t="shared" si="18"/>
        <v>0</v>
      </c>
      <c r="K201" s="166">
        <f t="shared" si="20"/>
        <v>0</v>
      </c>
    </row>
    <row r="202" spans="2:11" ht="14.1" customHeight="1" x14ac:dyDescent="0.2">
      <c r="B202" s="8"/>
      <c r="C202" s="331"/>
      <c r="D202" s="44">
        <v>150</v>
      </c>
      <c r="E202" s="166">
        <v>70.92</v>
      </c>
      <c r="F202" s="38">
        <f t="shared" si="23"/>
        <v>0</v>
      </c>
      <c r="G202" s="166">
        <f t="shared" si="22"/>
        <v>70.92</v>
      </c>
      <c r="H202" s="44">
        <v>0.44</v>
      </c>
      <c r="I202" s="97">
        <f t="shared" si="21"/>
        <v>0</v>
      </c>
      <c r="J202" s="166">
        <f t="shared" si="18"/>
        <v>0</v>
      </c>
      <c r="K202" s="166">
        <f t="shared" si="20"/>
        <v>0</v>
      </c>
    </row>
    <row r="203" spans="2:11" ht="14.1" customHeight="1" x14ac:dyDescent="0.2">
      <c r="B203" s="8"/>
      <c r="C203" s="331"/>
      <c r="D203" s="44">
        <v>200</v>
      </c>
      <c r="E203" s="166">
        <v>83.28</v>
      </c>
      <c r="F203" s="38">
        <f t="shared" si="23"/>
        <v>0</v>
      </c>
      <c r="G203" s="166">
        <f t="shared" si="22"/>
        <v>83.28</v>
      </c>
      <c r="H203" s="44">
        <v>0.57999999999999996</v>
      </c>
      <c r="I203" s="97">
        <f t="shared" si="21"/>
        <v>0</v>
      </c>
      <c r="J203" s="166">
        <f t="shared" si="18"/>
        <v>0</v>
      </c>
      <c r="K203" s="166">
        <f t="shared" si="20"/>
        <v>0</v>
      </c>
    </row>
    <row r="204" spans="2:11" ht="14.1" customHeight="1" x14ac:dyDescent="0.2">
      <c r="B204" s="8"/>
      <c r="C204" s="331"/>
      <c r="D204" s="44">
        <v>225</v>
      </c>
      <c r="E204" s="166">
        <v>75.650000000000006</v>
      </c>
      <c r="F204" s="38">
        <f t="shared" si="23"/>
        <v>0</v>
      </c>
      <c r="G204" s="166">
        <f t="shared" si="22"/>
        <v>75.650000000000006</v>
      </c>
      <c r="H204" s="44">
        <v>0.65</v>
      </c>
      <c r="I204" s="97">
        <f t="shared" si="21"/>
        <v>0</v>
      </c>
      <c r="J204" s="166">
        <f t="shared" si="18"/>
        <v>0</v>
      </c>
      <c r="K204" s="166">
        <f t="shared" si="20"/>
        <v>0</v>
      </c>
    </row>
    <row r="205" spans="2:11" ht="14.1" customHeight="1" x14ac:dyDescent="0.2">
      <c r="B205" s="8"/>
      <c r="C205" s="331"/>
      <c r="D205" s="44">
        <v>250</v>
      </c>
      <c r="E205" s="166">
        <v>95.17</v>
      </c>
      <c r="F205" s="38">
        <f t="shared" si="23"/>
        <v>0</v>
      </c>
      <c r="G205" s="166">
        <f t="shared" si="22"/>
        <v>95.17</v>
      </c>
      <c r="H205" s="44">
        <v>0.73</v>
      </c>
      <c r="I205" s="97">
        <f t="shared" si="21"/>
        <v>0</v>
      </c>
      <c r="J205" s="166">
        <f t="shared" si="18"/>
        <v>0</v>
      </c>
      <c r="K205" s="166">
        <f t="shared" si="20"/>
        <v>0</v>
      </c>
    </row>
    <row r="206" spans="2:11" ht="14.1" customHeight="1" x14ac:dyDescent="0.2">
      <c r="B206" s="8"/>
      <c r="C206" s="331"/>
      <c r="D206" s="44">
        <v>300</v>
      </c>
      <c r="E206" s="166">
        <v>118.5</v>
      </c>
      <c r="F206" s="38">
        <f t="shared" si="23"/>
        <v>0</v>
      </c>
      <c r="G206" s="166">
        <f t="shared" si="22"/>
        <v>118.5</v>
      </c>
      <c r="H206" s="44">
        <v>0.87</v>
      </c>
      <c r="I206" s="97">
        <f t="shared" si="21"/>
        <v>0</v>
      </c>
      <c r="J206" s="166">
        <f t="shared" si="18"/>
        <v>0</v>
      </c>
      <c r="K206" s="166">
        <f t="shared" si="20"/>
        <v>0</v>
      </c>
    </row>
    <row r="207" spans="2:11" ht="14.1" customHeight="1" x14ac:dyDescent="0.2">
      <c r="B207" s="8"/>
      <c r="C207" s="331"/>
      <c r="D207" s="44">
        <v>350</v>
      </c>
      <c r="E207" s="166">
        <v>158.46</v>
      </c>
      <c r="F207" s="38">
        <f t="shared" si="23"/>
        <v>0</v>
      </c>
      <c r="G207" s="166">
        <f t="shared" si="22"/>
        <v>158.46</v>
      </c>
      <c r="H207" s="44">
        <v>1.02</v>
      </c>
      <c r="I207" s="97">
        <f t="shared" si="21"/>
        <v>0</v>
      </c>
      <c r="J207" s="166">
        <f t="shared" si="18"/>
        <v>0</v>
      </c>
      <c r="K207" s="166">
        <f t="shared" si="20"/>
        <v>0</v>
      </c>
    </row>
    <row r="208" spans="2:11" ht="14.1" customHeight="1" x14ac:dyDescent="0.2">
      <c r="B208" s="8"/>
      <c r="C208" s="331"/>
      <c r="D208" s="44">
        <v>400</v>
      </c>
      <c r="E208" s="166">
        <v>182.03</v>
      </c>
      <c r="F208" s="38">
        <f t="shared" si="23"/>
        <v>0</v>
      </c>
      <c r="G208" s="166">
        <f t="shared" si="22"/>
        <v>182.03</v>
      </c>
      <c r="H208" s="44">
        <v>1.1599999999999999</v>
      </c>
      <c r="I208" s="97">
        <f t="shared" si="21"/>
        <v>0</v>
      </c>
      <c r="J208" s="166">
        <f t="shared" si="18"/>
        <v>0</v>
      </c>
      <c r="K208" s="166">
        <f t="shared" si="20"/>
        <v>0</v>
      </c>
    </row>
    <row r="209" spans="2:11" ht="14.1" customHeight="1" x14ac:dyDescent="0.2">
      <c r="B209" s="8"/>
      <c r="C209" s="331"/>
      <c r="D209" s="44">
        <v>450</v>
      </c>
      <c r="E209" s="166">
        <v>197.74</v>
      </c>
      <c r="F209" s="38">
        <f t="shared" si="23"/>
        <v>0</v>
      </c>
      <c r="G209" s="166">
        <f t="shared" si="22"/>
        <v>197.74</v>
      </c>
      <c r="H209" s="44">
        <v>1.31</v>
      </c>
      <c r="I209" s="97">
        <f t="shared" si="21"/>
        <v>0</v>
      </c>
      <c r="J209" s="166">
        <f t="shared" si="18"/>
        <v>0</v>
      </c>
      <c r="K209" s="166">
        <f t="shared" si="20"/>
        <v>0</v>
      </c>
    </row>
    <row r="210" spans="2:11" ht="14.1" customHeight="1" x14ac:dyDescent="0.2">
      <c r="B210" s="8"/>
      <c r="C210" s="331"/>
      <c r="D210" s="44">
        <v>500</v>
      </c>
      <c r="E210" s="166">
        <v>213.91</v>
      </c>
      <c r="F210" s="38">
        <f t="shared" si="23"/>
        <v>0</v>
      </c>
      <c r="G210" s="166">
        <f t="shared" si="22"/>
        <v>213.91</v>
      </c>
      <c r="H210" s="44">
        <v>1.45</v>
      </c>
      <c r="I210" s="97">
        <f t="shared" si="21"/>
        <v>0</v>
      </c>
      <c r="J210" s="166">
        <f t="shared" si="18"/>
        <v>0</v>
      </c>
      <c r="K210" s="166">
        <f t="shared" si="20"/>
        <v>0</v>
      </c>
    </row>
    <row r="211" spans="2:11" ht="14.1" customHeight="1" x14ac:dyDescent="0.2">
      <c r="B211" s="8"/>
      <c r="C211" s="331">
        <v>550</v>
      </c>
      <c r="D211" s="44">
        <v>100</v>
      </c>
      <c r="E211" s="166">
        <v>64.22</v>
      </c>
      <c r="F211" s="38">
        <f t="shared" si="23"/>
        <v>0</v>
      </c>
      <c r="G211" s="166">
        <f t="shared" si="22"/>
        <v>64.22</v>
      </c>
      <c r="H211" s="44">
        <v>1.89</v>
      </c>
      <c r="I211" s="97">
        <f t="shared" si="21"/>
        <v>0</v>
      </c>
      <c r="J211" s="166">
        <f t="shared" si="18"/>
        <v>0</v>
      </c>
      <c r="K211" s="166">
        <f t="shared" si="20"/>
        <v>0</v>
      </c>
    </row>
    <row r="212" spans="2:11" ht="14.1" customHeight="1" x14ac:dyDescent="0.2">
      <c r="B212" s="8"/>
      <c r="C212" s="331"/>
      <c r="D212" s="44">
        <v>150</v>
      </c>
      <c r="E212" s="166">
        <v>76.17</v>
      </c>
      <c r="F212" s="38">
        <f t="shared" si="23"/>
        <v>0</v>
      </c>
      <c r="G212" s="166">
        <f t="shared" si="22"/>
        <v>76.17</v>
      </c>
      <c r="H212" s="44">
        <v>0.44</v>
      </c>
      <c r="I212" s="97">
        <f t="shared" si="21"/>
        <v>0</v>
      </c>
      <c r="J212" s="166">
        <f t="shared" si="18"/>
        <v>0</v>
      </c>
      <c r="K212" s="166">
        <f t="shared" si="20"/>
        <v>0</v>
      </c>
    </row>
    <row r="213" spans="2:11" ht="14.1" customHeight="1" x14ac:dyDescent="0.2">
      <c r="B213" s="8"/>
      <c r="C213" s="331"/>
      <c r="D213" s="44">
        <v>200</v>
      </c>
      <c r="E213" s="166">
        <v>99.45</v>
      </c>
      <c r="F213" s="38">
        <f t="shared" si="23"/>
        <v>0</v>
      </c>
      <c r="G213" s="166">
        <f t="shared" si="22"/>
        <v>99.45</v>
      </c>
      <c r="H213" s="44">
        <v>0.57999999999999996</v>
      </c>
      <c r="I213" s="97">
        <f t="shared" si="21"/>
        <v>0</v>
      </c>
      <c r="J213" s="166">
        <f t="shared" si="18"/>
        <v>0</v>
      </c>
      <c r="K213" s="166">
        <f t="shared" si="20"/>
        <v>0</v>
      </c>
    </row>
    <row r="214" spans="2:11" ht="14.1" customHeight="1" x14ac:dyDescent="0.2">
      <c r="B214" s="8"/>
      <c r="C214" s="331"/>
      <c r="D214" s="44">
        <v>225</v>
      </c>
      <c r="E214" s="166">
        <v>88.47</v>
      </c>
      <c r="F214" s="38">
        <f t="shared" si="23"/>
        <v>0</v>
      </c>
      <c r="G214" s="166">
        <f t="shared" si="22"/>
        <v>88.47</v>
      </c>
      <c r="H214" s="44">
        <v>0.65</v>
      </c>
      <c r="I214" s="97">
        <f t="shared" si="21"/>
        <v>0</v>
      </c>
      <c r="J214" s="166">
        <f t="shared" si="18"/>
        <v>0</v>
      </c>
      <c r="K214" s="166">
        <f t="shared" si="20"/>
        <v>0</v>
      </c>
    </row>
    <row r="215" spans="2:11" ht="14.1" customHeight="1" x14ac:dyDescent="0.2">
      <c r="B215" s="8"/>
      <c r="C215" s="331"/>
      <c r="D215" s="44">
        <v>250</v>
      </c>
      <c r="E215" s="166">
        <v>122.55</v>
      </c>
      <c r="F215" s="38">
        <f t="shared" si="23"/>
        <v>0</v>
      </c>
      <c r="G215" s="166">
        <f t="shared" si="22"/>
        <v>122.55</v>
      </c>
      <c r="H215" s="44">
        <v>0.73</v>
      </c>
      <c r="I215" s="97">
        <f t="shared" si="21"/>
        <v>0</v>
      </c>
      <c r="J215" s="166">
        <f t="shared" si="18"/>
        <v>0</v>
      </c>
      <c r="K215" s="166">
        <f t="shared" si="20"/>
        <v>0</v>
      </c>
    </row>
    <row r="216" spans="2:11" ht="14.1" customHeight="1" x14ac:dyDescent="0.2">
      <c r="B216" s="8"/>
      <c r="C216" s="331"/>
      <c r="D216" s="44">
        <v>300</v>
      </c>
      <c r="E216" s="166">
        <v>141.6</v>
      </c>
      <c r="F216" s="38">
        <f t="shared" si="23"/>
        <v>0</v>
      </c>
      <c r="G216" s="166">
        <f t="shared" si="22"/>
        <v>141.6</v>
      </c>
      <c r="H216" s="44">
        <v>0.87</v>
      </c>
      <c r="I216" s="97">
        <f t="shared" si="21"/>
        <v>0</v>
      </c>
      <c r="J216" s="166">
        <f t="shared" si="18"/>
        <v>0</v>
      </c>
      <c r="K216" s="166">
        <f t="shared" si="20"/>
        <v>0</v>
      </c>
    </row>
    <row r="217" spans="2:11" ht="14.1" customHeight="1" x14ac:dyDescent="0.2">
      <c r="B217" s="8"/>
      <c r="C217" s="331"/>
      <c r="D217" s="44">
        <v>350</v>
      </c>
      <c r="E217" s="166">
        <v>176.08</v>
      </c>
      <c r="F217" s="38">
        <f t="shared" si="23"/>
        <v>0</v>
      </c>
      <c r="G217" s="166">
        <f t="shared" si="22"/>
        <v>176.08</v>
      </c>
      <c r="H217" s="44">
        <v>1.02</v>
      </c>
      <c r="I217" s="97">
        <f t="shared" si="21"/>
        <v>0</v>
      </c>
      <c r="J217" s="166">
        <f t="shared" si="18"/>
        <v>0</v>
      </c>
      <c r="K217" s="166">
        <f t="shared" si="20"/>
        <v>0</v>
      </c>
    </row>
    <row r="218" spans="2:11" ht="14.1" customHeight="1" x14ac:dyDescent="0.2">
      <c r="B218" s="8"/>
      <c r="C218" s="331"/>
      <c r="D218" s="44">
        <v>400</v>
      </c>
      <c r="E218" s="166">
        <v>191.27</v>
      </c>
      <c r="F218" s="38">
        <f t="shared" si="23"/>
        <v>0</v>
      </c>
      <c r="G218" s="166">
        <f t="shared" si="22"/>
        <v>191.27</v>
      </c>
      <c r="H218" s="44">
        <v>1.1599999999999999</v>
      </c>
      <c r="I218" s="97">
        <f t="shared" si="21"/>
        <v>0</v>
      </c>
      <c r="J218" s="166">
        <f t="shared" si="18"/>
        <v>0</v>
      </c>
      <c r="K218" s="166">
        <f t="shared" si="20"/>
        <v>0</v>
      </c>
    </row>
    <row r="219" spans="2:11" ht="14.1" customHeight="1" x14ac:dyDescent="0.2">
      <c r="B219" s="8"/>
      <c r="C219" s="331"/>
      <c r="D219" s="44">
        <v>450</v>
      </c>
      <c r="E219" s="166">
        <v>213.21</v>
      </c>
      <c r="F219" s="38">
        <f t="shared" si="23"/>
        <v>0</v>
      </c>
      <c r="G219" s="166">
        <f t="shared" si="22"/>
        <v>213.21</v>
      </c>
      <c r="H219" s="44">
        <v>1.31</v>
      </c>
      <c r="I219" s="97">
        <f t="shared" si="21"/>
        <v>0</v>
      </c>
      <c r="J219" s="166">
        <f t="shared" si="18"/>
        <v>0</v>
      </c>
      <c r="K219" s="166">
        <f t="shared" si="20"/>
        <v>0</v>
      </c>
    </row>
    <row r="220" spans="2:11" ht="14.1" customHeight="1" x14ac:dyDescent="0.2">
      <c r="B220" s="8"/>
      <c r="C220" s="331"/>
      <c r="D220" s="44">
        <v>500</v>
      </c>
      <c r="E220" s="166">
        <v>246.25</v>
      </c>
      <c r="F220" s="38">
        <f t="shared" si="23"/>
        <v>0</v>
      </c>
      <c r="G220" s="166">
        <f t="shared" ref="G220" si="24">E220-(E220*F220)</f>
        <v>246.25</v>
      </c>
      <c r="H220" s="44">
        <v>1.45</v>
      </c>
      <c r="I220" s="97">
        <f t="shared" si="21"/>
        <v>0</v>
      </c>
      <c r="J220" s="166">
        <f t="shared" ref="J220:J233" si="25">(2.4-(2.4*I220))*H220*B220</f>
        <v>0</v>
      </c>
      <c r="K220" s="166">
        <f t="shared" si="20"/>
        <v>0</v>
      </c>
    </row>
    <row r="221" spans="2:11" ht="14.1" customHeight="1" x14ac:dyDescent="0.2">
      <c r="B221" s="8"/>
      <c r="C221" s="331"/>
      <c r="D221" s="44">
        <v>550</v>
      </c>
      <c r="E221" s="166">
        <v>260.57</v>
      </c>
      <c r="F221" s="38">
        <f t="shared" ref="F221:F233" si="26">$F$156</f>
        <v>0</v>
      </c>
      <c r="G221" s="166">
        <f t="shared" ref="G221:G233" si="27">E221-(E221*F221)</f>
        <v>260.57</v>
      </c>
      <c r="H221" s="44">
        <v>1.6</v>
      </c>
      <c r="I221" s="97">
        <f t="shared" si="21"/>
        <v>0</v>
      </c>
      <c r="J221" s="166">
        <f t="shared" si="25"/>
        <v>0</v>
      </c>
      <c r="K221" s="166">
        <f t="shared" ref="K221:K233" si="28">(B221*G221)+J221</f>
        <v>0</v>
      </c>
    </row>
    <row r="222" spans="2:11" ht="14.1" customHeight="1" x14ac:dyDescent="0.2">
      <c r="B222" s="8"/>
      <c r="C222" s="331">
        <v>600</v>
      </c>
      <c r="D222" s="44">
        <v>100</v>
      </c>
      <c r="E222" s="166">
        <v>67.8</v>
      </c>
      <c r="F222" s="38">
        <f t="shared" si="26"/>
        <v>0</v>
      </c>
      <c r="G222" s="166">
        <f t="shared" si="27"/>
        <v>67.8</v>
      </c>
      <c r="H222" s="44">
        <v>2.0299999999999998</v>
      </c>
      <c r="I222" s="97">
        <f t="shared" ref="I222:I233" si="29">$I$156</f>
        <v>0</v>
      </c>
      <c r="J222" s="166">
        <f t="shared" si="25"/>
        <v>0</v>
      </c>
      <c r="K222" s="166">
        <f t="shared" si="28"/>
        <v>0</v>
      </c>
    </row>
    <row r="223" spans="2:11" ht="14.1" customHeight="1" x14ac:dyDescent="0.2">
      <c r="B223" s="8"/>
      <c r="C223" s="331"/>
      <c r="D223" s="44">
        <v>150</v>
      </c>
      <c r="E223" s="166">
        <v>80.91</v>
      </c>
      <c r="F223" s="38">
        <f t="shared" si="26"/>
        <v>0</v>
      </c>
      <c r="G223" s="166">
        <f t="shared" si="27"/>
        <v>80.91</v>
      </c>
      <c r="H223" s="44">
        <v>0.44</v>
      </c>
      <c r="I223" s="97">
        <f t="shared" si="29"/>
        <v>0</v>
      </c>
      <c r="J223" s="166">
        <f t="shared" si="25"/>
        <v>0</v>
      </c>
      <c r="K223" s="166">
        <f t="shared" si="28"/>
        <v>0</v>
      </c>
    </row>
    <row r="224" spans="2:11" ht="14.1" customHeight="1" x14ac:dyDescent="0.2">
      <c r="B224" s="8"/>
      <c r="C224" s="331"/>
      <c r="D224" s="44">
        <v>200</v>
      </c>
      <c r="E224" s="166">
        <v>117.81</v>
      </c>
      <c r="F224" s="38">
        <f t="shared" si="26"/>
        <v>0</v>
      </c>
      <c r="G224" s="166">
        <f t="shared" si="27"/>
        <v>117.81</v>
      </c>
      <c r="H224" s="44">
        <v>0.57999999999999996</v>
      </c>
      <c r="I224" s="97">
        <f t="shared" si="29"/>
        <v>0</v>
      </c>
      <c r="J224" s="166">
        <f t="shared" si="25"/>
        <v>0</v>
      </c>
      <c r="K224" s="166">
        <f t="shared" si="28"/>
        <v>0</v>
      </c>
    </row>
    <row r="225" spans="1:14" ht="14.1" customHeight="1" x14ac:dyDescent="0.2">
      <c r="B225" s="8"/>
      <c r="C225" s="331"/>
      <c r="D225" s="44">
        <v>225</v>
      </c>
      <c r="E225" s="166">
        <v>98.52</v>
      </c>
      <c r="F225" s="38">
        <f t="shared" si="26"/>
        <v>0</v>
      </c>
      <c r="G225" s="166">
        <f t="shared" si="27"/>
        <v>98.52</v>
      </c>
      <c r="H225" s="44">
        <v>0.65</v>
      </c>
      <c r="I225" s="97">
        <f t="shared" si="29"/>
        <v>0</v>
      </c>
      <c r="J225" s="166">
        <f t="shared" si="25"/>
        <v>0</v>
      </c>
      <c r="K225" s="166">
        <f t="shared" si="28"/>
        <v>0</v>
      </c>
    </row>
    <row r="226" spans="1:14" ht="14.1" customHeight="1" x14ac:dyDescent="0.2">
      <c r="B226" s="8"/>
      <c r="C226" s="331"/>
      <c r="D226" s="44">
        <v>250</v>
      </c>
      <c r="E226" s="166">
        <v>140.38999999999999</v>
      </c>
      <c r="F226" s="38">
        <f t="shared" si="26"/>
        <v>0</v>
      </c>
      <c r="G226" s="166">
        <f t="shared" si="27"/>
        <v>140.38999999999999</v>
      </c>
      <c r="H226" s="44">
        <v>0.73</v>
      </c>
      <c r="I226" s="97">
        <f t="shared" si="29"/>
        <v>0</v>
      </c>
      <c r="J226" s="166">
        <f t="shared" si="25"/>
        <v>0</v>
      </c>
      <c r="K226" s="166">
        <f t="shared" si="28"/>
        <v>0</v>
      </c>
    </row>
    <row r="227" spans="1:14" ht="14.1" customHeight="1" x14ac:dyDescent="0.2">
      <c r="B227" s="8"/>
      <c r="C227" s="331"/>
      <c r="D227" s="44">
        <v>300</v>
      </c>
      <c r="E227" s="166">
        <v>164.18</v>
      </c>
      <c r="F227" s="38">
        <f t="shared" si="26"/>
        <v>0</v>
      </c>
      <c r="G227" s="166">
        <f t="shared" si="27"/>
        <v>164.18</v>
      </c>
      <c r="H227" s="44">
        <v>0.87</v>
      </c>
      <c r="I227" s="97">
        <f t="shared" si="29"/>
        <v>0</v>
      </c>
      <c r="J227" s="166">
        <f t="shared" si="25"/>
        <v>0</v>
      </c>
      <c r="K227" s="166">
        <f t="shared" si="28"/>
        <v>0</v>
      </c>
    </row>
    <row r="228" spans="1:14" ht="14.1" customHeight="1" x14ac:dyDescent="0.2">
      <c r="B228" s="8"/>
      <c r="C228" s="331"/>
      <c r="D228" s="44">
        <v>350</v>
      </c>
      <c r="E228" s="166">
        <v>183.18</v>
      </c>
      <c r="F228" s="38">
        <f t="shared" si="26"/>
        <v>0</v>
      </c>
      <c r="G228" s="166">
        <f t="shared" si="27"/>
        <v>183.18</v>
      </c>
      <c r="H228" s="44">
        <v>1.02</v>
      </c>
      <c r="I228" s="97">
        <f t="shared" si="29"/>
        <v>0</v>
      </c>
      <c r="J228" s="166">
        <f t="shared" si="25"/>
        <v>0</v>
      </c>
      <c r="K228" s="166">
        <f t="shared" si="28"/>
        <v>0</v>
      </c>
    </row>
    <row r="229" spans="1:14" ht="14.1" customHeight="1" x14ac:dyDescent="0.2">
      <c r="B229" s="8"/>
      <c r="C229" s="331"/>
      <c r="D229" s="44">
        <v>400</v>
      </c>
      <c r="E229" s="166">
        <v>197.97</v>
      </c>
      <c r="F229" s="38">
        <f t="shared" si="26"/>
        <v>0</v>
      </c>
      <c r="G229" s="166">
        <f t="shared" si="27"/>
        <v>197.97</v>
      </c>
      <c r="H229" s="44">
        <v>1.1599999999999999</v>
      </c>
      <c r="I229" s="97">
        <f t="shared" si="29"/>
        <v>0</v>
      </c>
      <c r="J229" s="166">
        <f t="shared" si="25"/>
        <v>0</v>
      </c>
      <c r="K229" s="166">
        <f t="shared" si="28"/>
        <v>0</v>
      </c>
    </row>
    <row r="230" spans="1:14" ht="14.1" customHeight="1" x14ac:dyDescent="0.2">
      <c r="B230" s="8"/>
      <c r="C230" s="331"/>
      <c r="D230" s="44">
        <v>450</v>
      </c>
      <c r="E230" s="166">
        <v>222.23</v>
      </c>
      <c r="F230" s="38">
        <f t="shared" si="26"/>
        <v>0</v>
      </c>
      <c r="G230" s="166">
        <f t="shared" si="27"/>
        <v>222.23</v>
      </c>
      <c r="H230" s="44">
        <v>1.31</v>
      </c>
      <c r="I230" s="97">
        <f t="shared" si="29"/>
        <v>0</v>
      </c>
      <c r="J230" s="166">
        <f t="shared" si="25"/>
        <v>0</v>
      </c>
      <c r="K230" s="166">
        <f t="shared" si="28"/>
        <v>0</v>
      </c>
    </row>
    <row r="231" spans="1:14" ht="14.1" customHeight="1" x14ac:dyDescent="0.2">
      <c r="B231" s="8"/>
      <c r="C231" s="331"/>
      <c r="D231" s="44">
        <v>500</v>
      </c>
      <c r="E231" s="166">
        <v>252.71</v>
      </c>
      <c r="F231" s="38">
        <f t="shared" si="26"/>
        <v>0</v>
      </c>
      <c r="G231" s="166">
        <f t="shared" si="27"/>
        <v>252.71</v>
      </c>
      <c r="H231" s="44">
        <v>1.45</v>
      </c>
      <c r="I231" s="97">
        <f t="shared" si="29"/>
        <v>0</v>
      </c>
      <c r="J231" s="166">
        <f t="shared" si="25"/>
        <v>0</v>
      </c>
      <c r="K231" s="166">
        <f t="shared" si="28"/>
        <v>0</v>
      </c>
    </row>
    <row r="232" spans="1:14" ht="14.1" customHeight="1" x14ac:dyDescent="0.2">
      <c r="B232" s="8"/>
      <c r="C232" s="331"/>
      <c r="D232" s="44">
        <v>550</v>
      </c>
      <c r="E232" s="166">
        <v>276.05</v>
      </c>
      <c r="F232" s="38">
        <f t="shared" si="26"/>
        <v>0</v>
      </c>
      <c r="G232" s="166">
        <f t="shared" si="27"/>
        <v>276.05</v>
      </c>
      <c r="H232" s="44">
        <v>1.6</v>
      </c>
      <c r="I232" s="97">
        <f t="shared" si="29"/>
        <v>0</v>
      </c>
      <c r="J232" s="166">
        <f t="shared" si="25"/>
        <v>0</v>
      </c>
      <c r="K232" s="166">
        <f t="shared" si="28"/>
        <v>0</v>
      </c>
    </row>
    <row r="233" spans="1:14" ht="14.1" customHeight="1" x14ac:dyDescent="0.2">
      <c r="B233" s="8"/>
      <c r="C233" s="331"/>
      <c r="D233" s="44">
        <v>600</v>
      </c>
      <c r="E233" s="166">
        <v>285.05</v>
      </c>
      <c r="F233" s="38">
        <f t="shared" si="26"/>
        <v>0</v>
      </c>
      <c r="G233" s="166">
        <f t="shared" si="27"/>
        <v>285.05</v>
      </c>
      <c r="H233" s="44">
        <v>1.74</v>
      </c>
      <c r="I233" s="97">
        <f t="shared" si="29"/>
        <v>0</v>
      </c>
      <c r="J233" s="166">
        <f t="shared" si="25"/>
        <v>0</v>
      </c>
      <c r="K233" s="166">
        <f t="shared" si="28"/>
        <v>0</v>
      </c>
    </row>
    <row r="234" spans="1:14" ht="18" customHeight="1" x14ac:dyDescent="0.2">
      <c r="B234" s="22"/>
      <c r="C234" s="22"/>
      <c r="D234" s="22"/>
      <c r="E234" s="22"/>
      <c r="G234" s="100"/>
      <c r="H234" s="332" t="s">
        <v>85</v>
      </c>
      <c r="I234" s="332"/>
      <c r="J234" s="332"/>
      <c r="K234" s="170">
        <f>SUM(K156:K233)</f>
        <v>0</v>
      </c>
    </row>
    <row r="235" spans="1:14" ht="18" customHeight="1" x14ac:dyDescent="0.2">
      <c r="B235" s="22"/>
      <c r="C235" s="22"/>
      <c r="D235" s="22"/>
      <c r="E235" s="22"/>
      <c r="G235" s="100"/>
      <c r="H235" s="230" t="s">
        <v>265</v>
      </c>
      <c r="I235" s="230"/>
      <c r="J235" s="230"/>
      <c r="K235" s="145">
        <f>SUM(B156:B233)</f>
        <v>0</v>
      </c>
    </row>
    <row r="236" spans="1:14" ht="18" customHeight="1" x14ac:dyDescent="0.2">
      <c r="B236" s="22"/>
      <c r="C236" s="22"/>
      <c r="D236" s="22"/>
      <c r="E236" s="22"/>
      <c r="G236" s="100"/>
      <c r="H236" s="230" t="s">
        <v>266</v>
      </c>
      <c r="I236" s="230"/>
      <c r="J236" s="230"/>
      <c r="K236" s="145">
        <f>SUMPRODUCT(B156:B233,H156:H233)</f>
        <v>0</v>
      </c>
    </row>
    <row r="237" spans="1:14" ht="14.1" customHeight="1" x14ac:dyDescent="0.2">
      <c r="B237" s="22"/>
      <c r="C237" s="22"/>
      <c r="D237" s="22"/>
      <c r="E237" s="22"/>
      <c r="F237" s="22"/>
      <c r="G237" s="22"/>
      <c r="H237" s="22"/>
      <c r="I237" s="22"/>
      <c r="J237" s="22"/>
      <c r="K237" s="22"/>
    </row>
    <row r="238" spans="1:14" ht="14.1" customHeight="1" x14ac:dyDescent="0.2">
      <c r="B238" s="23" t="s">
        <v>267</v>
      </c>
      <c r="C238" s="22"/>
      <c r="D238" s="22"/>
      <c r="E238" s="22"/>
      <c r="F238" s="22"/>
      <c r="G238" s="22"/>
      <c r="H238" s="22"/>
      <c r="I238" s="22"/>
      <c r="J238" s="22"/>
      <c r="K238" s="22"/>
    </row>
    <row r="239" spans="1:14" ht="14.1" customHeight="1" x14ac:dyDescent="0.2">
      <c r="B239" s="22"/>
      <c r="C239" s="22"/>
      <c r="D239" s="22"/>
      <c r="E239" s="22"/>
      <c r="F239" s="22"/>
      <c r="G239" s="22"/>
      <c r="H239" s="22"/>
      <c r="I239" s="22"/>
      <c r="J239" s="22"/>
      <c r="K239" s="22"/>
    </row>
    <row r="240" spans="1:14" ht="30" customHeight="1" x14ac:dyDescent="0.2">
      <c r="A240" s="224" t="s">
        <v>251</v>
      </c>
      <c r="B240" s="224"/>
      <c r="C240" s="224"/>
      <c r="D240" s="224"/>
      <c r="E240" s="224"/>
      <c r="F240" s="224"/>
      <c r="G240" s="224"/>
      <c r="H240" s="224"/>
      <c r="I240" s="224"/>
      <c r="J240" s="224"/>
      <c r="K240" s="224"/>
      <c r="L240" s="224"/>
      <c r="M240" s="224"/>
      <c r="N240" s="224"/>
    </row>
    <row r="241" spans="2:11" ht="14.1" customHeight="1" x14ac:dyDescent="0.2">
      <c r="B241" s="22"/>
      <c r="C241" s="22"/>
      <c r="D241" s="22"/>
      <c r="E241" s="22"/>
      <c r="F241" s="22"/>
      <c r="G241" s="22"/>
      <c r="H241" s="22"/>
      <c r="I241" s="22"/>
      <c r="J241" s="22"/>
      <c r="K241" s="22"/>
    </row>
    <row r="242" spans="2:11" ht="14.1" customHeight="1" x14ac:dyDescent="0.2">
      <c r="B242" s="22"/>
      <c r="C242" s="22"/>
      <c r="D242" s="22"/>
      <c r="E242" s="22"/>
      <c r="F242" s="22"/>
      <c r="G242" s="22"/>
      <c r="H242" s="22"/>
      <c r="I242" s="22"/>
      <c r="J242" s="22"/>
      <c r="K242" s="22"/>
    </row>
    <row r="243" spans="2:11" ht="21" customHeight="1" x14ac:dyDescent="0.2">
      <c r="B243" s="227" t="s">
        <v>60</v>
      </c>
      <c r="C243" s="227"/>
      <c r="D243" s="227"/>
      <c r="E243" s="227"/>
      <c r="F243" s="227"/>
      <c r="G243" s="227"/>
      <c r="H243" s="227"/>
      <c r="I243" s="227"/>
      <c r="J243" s="227"/>
      <c r="K243" s="227"/>
    </row>
    <row r="244" spans="2:11" ht="21.75" customHeight="1" x14ac:dyDescent="0.2">
      <c r="B244" s="228" t="s">
        <v>255</v>
      </c>
      <c r="C244" s="334" t="s">
        <v>78</v>
      </c>
      <c r="D244" s="335"/>
      <c r="E244" s="228" t="s">
        <v>106</v>
      </c>
      <c r="F244" s="228" t="s">
        <v>254</v>
      </c>
      <c r="G244" s="228" t="s">
        <v>259</v>
      </c>
      <c r="H244" s="228" t="s">
        <v>61</v>
      </c>
      <c r="I244" s="228"/>
      <c r="J244" s="228"/>
      <c r="K244" s="228" t="s">
        <v>260</v>
      </c>
    </row>
    <row r="245" spans="2:11" ht="21.75" customHeight="1" x14ac:dyDescent="0.2">
      <c r="B245" s="230"/>
      <c r="C245" s="336"/>
      <c r="D245" s="337"/>
      <c r="E245" s="228"/>
      <c r="F245" s="230"/>
      <c r="G245" s="228"/>
      <c r="H245" s="139" t="s">
        <v>0</v>
      </c>
      <c r="I245" s="139" t="s">
        <v>2</v>
      </c>
      <c r="J245" s="139" t="s">
        <v>3</v>
      </c>
      <c r="K245" s="228"/>
    </row>
    <row r="246" spans="2:11" ht="14.1" customHeight="1" x14ac:dyDescent="0.2">
      <c r="B246" s="333" t="s">
        <v>51</v>
      </c>
      <c r="C246" s="333"/>
      <c r="D246" s="333"/>
      <c r="E246" s="333"/>
      <c r="F246" s="333"/>
      <c r="G246" s="333"/>
      <c r="H246" s="333"/>
      <c r="I246" s="333"/>
      <c r="J246" s="333"/>
      <c r="K246" s="333"/>
    </row>
    <row r="247" spans="2:11" ht="14.1" customHeight="1" x14ac:dyDescent="0.2">
      <c r="B247" s="8"/>
      <c r="C247" s="331">
        <v>100</v>
      </c>
      <c r="D247" s="331"/>
      <c r="E247" s="166">
        <v>22</v>
      </c>
      <c r="F247" s="9">
        <v>0</v>
      </c>
      <c r="G247" s="166">
        <f>E247-(E247*F247)</f>
        <v>22</v>
      </c>
      <c r="H247" s="44">
        <v>0.3</v>
      </c>
      <c r="I247" s="9">
        <v>0</v>
      </c>
      <c r="J247" s="166">
        <f t="shared" ref="J247:J257" si="30">(2.4-(2.4*I247))*H247*B247</f>
        <v>0</v>
      </c>
      <c r="K247" s="166">
        <f>(B247*G247)+J247</f>
        <v>0</v>
      </c>
    </row>
    <row r="248" spans="2:11" ht="13.5" customHeight="1" x14ac:dyDescent="0.2">
      <c r="B248" s="8"/>
      <c r="C248" s="331">
        <v>125</v>
      </c>
      <c r="D248" s="331"/>
      <c r="E248" s="166">
        <v>23</v>
      </c>
      <c r="F248" s="38">
        <f t="shared" ref="F248:F257" si="31">$F$247</f>
        <v>0</v>
      </c>
      <c r="G248" s="166">
        <f t="shared" ref="G248:G250" si="32">E248-(E248*F248)</f>
        <v>23</v>
      </c>
      <c r="H248" s="44">
        <v>0.38</v>
      </c>
      <c r="I248" s="97">
        <f>$I$247</f>
        <v>0</v>
      </c>
      <c r="J248" s="166">
        <f t="shared" si="30"/>
        <v>0</v>
      </c>
      <c r="K248" s="166">
        <f t="shared" ref="K248:K257" si="33">(B248*G248)+J248</f>
        <v>0</v>
      </c>
    </row>
    <row r="249" spans="2:11" ht="14.1" customHeight="1" x14ac:dyDescent="0.2">
      <c r="B249" s="8"/>
      <c r="C249" s="331">
        <v>150</v>
      </c>
      <c r="D249" s="331"/>
      <c r="E249" s="166">
        <v>25.5</v>
      </c>
      <c r="F249" s="38">
        <f t="shared" si="31"/>
        <v>0</v>
      </c>
      <c r="G249" s="166">
        <f t="shared" si="32"/>
        <v>25.5</v>
      </c>
      <c r="H249" s="44">
        <v>0.46</v>
      </c>
      <c r="I249" s="97">
        <f t="shared" ref="I249:I257" si="34">$I$247</f>
        <v>0</v>
      </c>
      <c r="J249" s="166">
        <f t="shared" si="30"/>
        <v>0</v>
      </c>
      <c r="K249" s="166">
        <f t="shared" si="33"/>
        <v>0</v>
      </c>
    </row>
    <row r="250" spans="2:11" ht="14.1" customHeight="1" x14ac:dyDescent="0.2">
      <c r="B250" s="8"/>
      <c r="C250" s="331">
        <v>160</v>
      </c>
      <c r="D250" s="331"/>
      <c r="E250" s="166">
        <v>27.5</v>
      </c>
      <c r="F250" s="38">
        <f t="shared" si="31"/>
        <v>0</v>
      </c>
      <c r="G250" s="166">
        <f t="shared" si="32"/>
        <v>27.5</v>
      </c>
      <c r="H250" s="44">
        <v>0.49</v>
      </c>
      <c r="I250" s="97">
        <f t="shared" si="34"/>
        <v>0</v>
      </c>
      <c r="J250" s="166">
        <f t="shared" si="30"/>
        <v>0</v>
      </c>
      <c r="K250" s="166">
        <f t="shared" si="33"/>
        <v>0</v>
      </c>
    </row>
    <row r="251" spans="2:11" ht="13.5" customHeight="1" x14ac:dyDescent="0.2">
      <c r="B251" s="8"/>
      <c r="C251" s="331">
        <v>200</v>
      </c>
      <c r="D251" s="331"/>
      <c r="E251" s="166">
        <v>30</v>
      </c>
      <c r="F251" s="38">
        <f t="shared" si="31"/>
        <v>0</v>
      </c>
      <c r="G251" s="166">
        <f t="shared" ref="G251:G253" si="35">E251-(E251*F251)</f>
        <v>30</v>
      </c>
      <c r="H251" s="44">
        <v>0.61</v>
      </c>
      <c r="I251" s="97">
        <f t="shared" si="34"/>
        <v>0</v>
      </c>
      <c r="J251" s="166">
        <f t="shared" si="30"/>
        <v>0</v>
      </c>
      <c r="K251" s="166">
        <f t="shared" si="33"/>
        <v>0</v>
      </c>
    </row>
    <row r="252" spans="2:11" ht="14.1" customHeight="1" x14ac:dyDescent="0.2">
      <c r="B252" s="8"/>
      <c r="C252" s="331">
        <v>225</v>
      </c>
      <c r="D252" s="331"/>
      <c r="E252" s="166">
        <v>36</v>
      </c>
      <c r="F252" s="38">
        <f t="shared" si="31"/>
        <v>0</v>
      </c>
      <c r="G252" s="166">
        <f t="shared" si="35"/>
        <v>36</v>
      </c>
      <c r="H252" s="44">
        <v>0.68</v>
      </c>
      <c r="I252" s="97">
        <f t="shared" si="34"/>
        <v>0</v>
      </c>
      <c r="J252" s="166">
        <f t="shared" si="30"/>
        <v>0</v>
      </c>
      <c r="K252" s="166">
        <f t="shared" si="33"/>
        <v>0</v>
      </c>
    </row>
    <row r="253" spans="2:11" ht="14.1" customHeight="1" x14ac:dyDescent="0.2">
      <c r="B253" s="8"/>
      <c r="C253" s="331">
        <v>250</v>
      </c>
      <c r="D253" s="331"/>
      <c r="E253" s="166">
        <v>41</v>
      </c>
      <c r="F253" s="38">
        <f t="shared" si="31"/>
        <v>0</v>
      </c>
      <c r="G253" s="166">
        <f t="shared" si="35"/>
        <v>41</v>
      </c>
      <c r="H253" s="44">
        <v>0.76</v>
      </c>
      <c r="I253" s="97">
        <f t="shared" si="34"/>
        <v>0</v>
      </c>
      <c r="J253" s="166">
        <f t="shared" si="30"/>
        <v>0</v>
      </c>
      <c r="K253" s="166">
        <f t="shared" si="33"/>
        <v>0</v>
      </c>
    </row>
    <row r="254" spans="2:11" ht="13.5" customHeight="1" x14ac:dyDescent="0.2">
      <c r="B254" s="8"/>
      <c r="C254" s="331">
        <v>300</v>
      </c>
      <c r="D254" s="331"/>
      <c r="E254" s="166">
        <v>61</v>
      </c>
      <c r="F254" s="38">
        <f t="shared" si="31"/>
        <v>0</v>
      </c>
      <c r="G254" s="166">
        <f t="shared" ref="G254:G256" si="36">E254-(E254*F254)</f>
        <v>61</v>
      </c>
      <c r="H254" s="44">
        <v>0.91</v>
      </c>
      <c r="I254" s="97">
        <f t="shared" si="34"/>
        <v>0</v>
      </c>
      <c r="J254" s="166">
        <f t="shared" si="30"/>
        <v>0</v>
      </c>
      <c r="K254" s="166">
        <f t="shared" si="33"/>
        <v>0</v>
      </c>
    </row>
    <row r="255" spans="2:11" ht="14.1" customHeight="1" x14ac:dyDescent="0.2">
      <c r="B255" s="8"/>
      <c r="C255" s="331">
        <v>315</v>
      </c>
      <c r="D255" s="331"/>
      <c r="E255" s="166">
        <v>69</v>
      </c>
      <c r="F255" s="38">
        <f t="shared" si="31"/>
        <v>0</v>
      </c>
      <c r="G255" s="166">
        <f t="shared" si="36"/>
        <v>69</v>
      </c>
      <c r="H255" s="44">
        <v>0.96</v>
      </c>
      <c r="I255" s="97">
        <f t="shared" si="34"/>
        <v>0</v>
      </c>
      <c r="J255" s="166">
        <f t="shared" si="30"/>
        <v>0</v>
      </c>
      <c r="K255" s="166">
        <f t="shared" si="33"/>
        <v>0</v>
      </c>
    </row>
    <row r="256" spans="2:11" ht="14.1" customHeight="1" x14ac:dyDescent="0.2">
      <c r="B256" s="8"/>
      <c r="C256" s="331">
        <v>350</v>
      </c>
      <c r="D256" s="331"/>
      <c r="E256" s="166">
        <v>80</v>
      </c>
      <c r="F256" s="38">
        <f t="shared" si="31"/>
        <v>0</v>
      </c>
      <c r="G256" s="166">
        <f t="shared" si="36"/>
        <v>80</v>
      </c>
      <c r="H256" s="44">
        <v>1.06</v>
      </c>
      <c r="I256" s="97">
        <f t="shared" si="34"/>
        <v>0</v>
      </c>
      <c r="J256" s="166">
        <f t="shared" si="30"/>
        <v>0</v>
      </c>
      <c r="K256" s="166">
        <f t="shared" si="33"/>
        <v>0</v>
      </c>
    </row>
    <row r="257" spans="2:11" ht="13.5" customHeight="1" x14ac:dyDescent="0.2">
      <c r="B257" s="8"/>
      <c r="C257" s="331">
        <v>400</v>
      </c>
      <c r="D257" s="331"/>
      <c r="E257" s="166">
        <v>100</v>
      </c>
      <c r="F257" s="38">
        <f t="shared" si="31"/>
        <v>0</v>
      </c>
      <c r="G257" s="166">
        <f>E257-(E257*F257)</f>
        <v>100</v>
      </c>
      <c r="H257" s="44">
        <v>1.22</v>
      </c>
      <c r="I257" s="97">
        <f t="shared" si="34"/>
        <v>0</v>
      </c>
      <c r="J257" s="166">
        <f t="shared" si="30"/>
        <v>0</v>
      </c>
      <c r="K257" s="166">
        <f t="shared" si="33"/>
        <v>0</v>
      </c>
    </row>
    <row r="258" spans="2:11" ht="14.1" customHeight="1" x14ac:dyDescent="0.2">
      <c r="B258" s="333" t="s">
        <v>52</v>
      </c>
      <c r="C258" s="333"/>
      <c r="D258" s="333"/>
      <c r="E258" s="333"/>
      <c r="F258" s="333"/>
      <c r="G258" s="333"/>
      <c r="H258" s="333"/>
      <c r="I258" s="333"/>
      <c r="J258" s="333"/>
      <c r="K258" s="333"/>
    </row>
    <row r="259" spans="2:11" ht="14.1" customHeight="1" x14ac:dyDescent="0.2">
      <c r="B259" s="8"/>
      <c r="C259" s="331">
        <v>100</v>
      </c>
      <c r="D259" s="331"/>
      <c r="E259" s="166">
        <v>26</v>
      </c>
      <c r="F259" s="9">
        <v>0</v>
      </c>
      <c r="G259" s="166">
        <f t="shared" ref="G259:G264" si="37">E259-(E259*F259)</f>
        <v>26</v>
      </c>
      <c r="H259" s="44">
        <v>0.46</v>
      </c>
      <c r="I259" s="9">
        <v>0</v>
      </c>
      <c r="J259" s="166">
        <f t="shared" ref="J259:J269" si="38">(2.4-(2.4*I259))*H259*B259</f>
        <v>0</v>
      </c>
      <c r="K259" s="166">
        <f>(B259*G259)+J259</f>
        <v>0</v>
      </c>
    </row>
    <row r="260" spans="2:11" ht="14.1" customHeight="1" x14ac:dyDescent="0.2">
      <c r="B260" s="8"/>
      <c r="C260" s="331">
        <v>125</v>
      </c>
      <c r="D260" s="331"/>
      <c r="E260" s="166">
        <v>28.5</v>
      </c>
      <c r="F260" s="38">
        <f>$F$259</f>
        <v>0</v>
      </c>
      <c r="G260" s="166">
        <f t="shared" si="37"/>
        <v>28.5</v>
      </c>
      <c r="H260" s="44">
        <v>0.56999999999999995</v>
      </c>
      <c r="I260" s="97">
        <f>$I$259</f>
        <v>0</v>
      </c>
      <c r="J260" s="166">
        <f t="shared" si="38"/>
        <v>0</v>
      </c>
      <c r="K260" s="166">
        <f t="shared" ref="K260:K269" si="39">(B260*G260)+J260</f>
        <v>0</v>
      </c>
    </row>
    <row r="261" spans="2:11" ht="13.5" customHeight="1" x14ac:dyDescent="0.2">
      <c r="B261" s="8"/>
      <c r="C261" s="331">
        <v>150</v>
      </c>
      <c r="D261" s="331"/>
      <c r="E261" s="166">
        <v>32</v>
      </c>
      <c r="F261" s="38">
        <f t="shared" ref="F261:F269" si="40">$F$259</f>
        <v>0</v>
      </c>
      <c r="G261" s="166">
        <f t="shared" si="37"/>
        <v>32</v>
      </c>
      <c r="H261" s="44">
        <v>0.68</v>
      </c>
      <c r="I261" s="97">
        <f t="shared" ref="I261:I269" si="41">$I$259</f>
        <v>0</v>
      </c>
      <c r="J261" s="166">
        <f t="shared" si="38"/>
        <v>0</v>
      </c>
      <c r="K261" s="166">
        <f t="shared" si="39"/>
        <v>0</v>
      </c>
    </row>
    <row r="262" spans="2:11" ht="14.1" customHeight="1" x14ac:dyDescent="0.2">
      <c r="B262" s="8"/>
      <c r="C262" s="331">
        <v>160</v>
      </c>
      <c r="D262" s="331"/>
      <c r="E262" s="166">
        <v>35</v>
      </c>
      <c r="F262" s="38">
        <f t="shared" si="40"/>
        <v>0</v>
      </c>
      <c r="G262" s="166">
        <f t="shared" si="37"/>
        <v>35</v>
      </c>
      <c r="H262" s="44">
        <v>0.73</v>
      </c>
      <c r="I262" s="97">
        <f t="shared" si="41"/>
        <v>0</v>
      </c>
      <c r="J262" s="166">
        <f t="shared" si="38"/>
        <v>0</v>
      </c>
      <c r="K262" s="166">
        <f t="shared" si="39"/>
        <v>0</v>
      </c>
    </row>
    <row r="263" spans="2:11" ht="14.1" customHeight="1" x14ac:dyDescent="0.2">
      <c r="B263" s="8"/>
      <c r="C263" s="331">
        <v>200</v>
      </c>
      <c r="D263" s="331"/>
      <c r="E263" s="166">
        <v>40.5</v>
      </c>
      <c r="F263" s="38">
        <f t="shared" si="40"/>
        <v>0</v>
      </c>
      <c r="G263" s="166">
        <f t="shared" si="37"/>
        <v>40.5</v>
      </c>
      <c r="H263" s="44">
        <v>0.91</v>
      </c>
      <c r="I263" s="97">
        <f t="shared" si="41"/>
        <v>0</v>
      </c>
      <c r="J263" s="166">
        <f t="shared" si="38"/>
        <v>0</v>
      </c>
      <c r="K263" s="166">
        <f t="shared" si="39"/>
        <v>0</v>
      </c>
    </row>
    <row r="264" spans="2:11" ht="13.5" customHeight="1" x14ac:dyDescent="0.2">
      <c r="B264" s="8"/>
      <c r="C264" s="331">
        <v>225</v>
      </c>
      <c r="D264" s="331"/>
      <c r="E264" s="166">
        <v>47.5</v>
      </c>
      <c r="F264" s="38">
        <f t="shared" si="40"/>
        <v>0</v>
      </c>
      <c r="G264" s="166">
        <f t="shared" si="37"/>
        <v>47.5</v>
      </c>
      <c r="H264" s="44">
        <v>1.03</v>
      </c>
      <c r="I264" s="97">
        <f t="shared" si="41"/>
        <v>0</v>
      </c>
      <c r="J264" s="166">
        <f t="shared" si="38"/>
        <v>0</v>
      </c>
      <c r="K264" s="166">
        <f t="shared" si="39"/>
        <v>0</v>
      </c>
    </row>
    <row r="265" spans="2:11" ht="14.1" customHeight="1" x14ac:dyDescent="0.2">
      <c r="B265" s="8"/>
      <c r="C265" s="331">
        <v>250</v>
      </c>
      <c r="D265" s="331"/>
      <c r="E265" s="166">
        <v>54.5</v>
      </c>
      <c r="F265" s="38">
        <f t="shared" si="40"/>
        <v>0</v>
      </c>
      <c r="G265" s="166">
        <f>E265-(E265*F265)</f>
        <v>54.5</v>
      </c>
      <c r="H265" s="44">
        <v>1.1399999999999999</v>
      </c>
      <c r="I265" s="97">
        <f t="shared" si="41"/>
        <v>0</v>
      </c>
      <c r="J265" s="166">
        <f t="shared" si="38"/>
        <v>0</v>
      </c>
      <c r="K265" s="166">
        <f t="shared" si="39"/>
        <v>0</v>
      </c>
    </row>
    <row r="266" spans="2:11" ht="14.1" customHeight="1" x14ac:dyDescent="0.2">
      <c r="B266" s="8"/>
      <c r="C266" s="331">
        <v>300</v>
      </c>
      <c r="D266" s="331"/>
      <c r="E266" s="166">
        <v>77.5</v>
      </c>
      <c r="F266" s="38">
        <f t="shared" si="40"/>
        <v>0</v>
      </c>
      <c r="G266" s="166">
        <f>E266-(E266*F266)</f>
        <v>77.5</v>
      </c>
      <c r="H266" s="44">
        <v>1.37</v>
      </c>
      <c r="I266" s="97">
        <f t="shared" si="41"/>
        <v>0</v>
      </c>
      <c r="J266" s="166">
        <f t="shared" si="38"/>
        <v>0</v>
      </c>
      <c r="K266" s="166">
        <f t="shared" si="39"/>
        <v>0</v>
      </c>
    </row>
    <row r="267" spans="2:11" ht="13.5" customHeight="1" x14ac:dyDescent="0.2">
      <c r="B267" s="8"/>
      <c r="C267" s="331">
        <v>315</v>
      </c>
      <c r="D267" s="331"/>
      <c r="E267" s="166">
        <v>88</v>
      </c>
      <c r="F267" s="38">
        <f t="shared" si="40"/>
        <v>0</v>
      </c>
      <c r="G267" s="166">
        <f t="shared" ref="G267:G269" si="42">E267-(E267*F267)</f>
        <v>88</v>
      </c>
      <c r="H267" s="44">
        <v>1.44</v>
      </c>
      <c r="I267" s="97">
        <f t="shared" si="41"/>
        <v>0</v>
      </c>
      <c r="J267" s="166">
        <f t="shared" si="38"/>
        <v>0</v>
      </c>
      <c r="K267" s="166">
        <f t="shared" si="39"/>
        <v>0</v>
      </c>
    </row>
    <row r="268" spans="2:11" ht="14.1" customHeight="1" x14ac:dyDescent="0.2">
      <c r="B268" s="8"/>
      <c r="C268" s="331">
        <v>350</v>
      </c>
      <c r="D268" s="331"/>
      <c r="E268" s="166">
        <v>101</v>
      </c>
      <c r="F268" s="38">
        <f t="shared" si="40"/>
        <v>0</v>
      </c>
      <c r="G268" s="166">
        <f t="shared" si="42"/>
        <v>101</v>
      </c>
      <c r="H268" s="44">
        <v>1.6</v>
      </c>
      <c r="I268" s="97">
        <f t="shared" si="41"/>
        <v>0</v>
      </c>
      <c r="J268" s="166">
        <f t="shared" si="38"/>
        <v>0</v>
      </c>
      <c r="K268" s="166">
        <f t="shared" si="39"/>
        <v>0</v>
      </c>
    </row>
    <row r="269" spans="2:11" ht="14.1" customHeight="1" x14ac:dyDescent="0.2">
      <c r="B269" s="8"/>
      <c r="C269" s="331">
        <v>400</v>
      </c>
      <c r="D269" s="331"/>
      <c r="E269" s="166">
        <v>123.5</v>
      </c>
      <c r="F269" s="38">
        <f t="shared" si="40"/>
        <v>0</v>
      </c>
      <c r="G269" s="166">
        <f t="shared" si="42"/>
        <v>123.5</v>
      </c>
      <c r="H269" s="44">
        <v>1.82</v>
      </c>
      <c r="I269" s="97">
        <f t="shared" si="41"/>
        <v>0</v>
      </c>
      <c r="J269" s="166">
        <f t="shared" si="38"/>
        <v>0</v>
      </c>
      <c r="K269" s="166">
        <f t="shared" si="39"/>
        <v>0</v>
      </c>
    </row>
    <row r="270" spans="2:11" ht="18" customHeight="1" x14ac:dyDescent="0.2">
      <c r="B270" s="22"/>
      <c r="C270" s="22"/>
      <c r="D270" s="22"/>
      <c r="E270" s="22"/>
      <c r="G270" s="100"/>
      <c r="H270" s="332" t="s">
        <v>85</v>
      </c>
      <c r="I270" s="332"/>
      <c r="J270" s="332"/>
      <c r="K270" s="170">
        <f>SUM(K247:K257,K259:K269)</f>
        <v>0</v>
      </c>
    </row>
    <row r="271" spans="2:11" ht="18" customHeight="1" x14ac:dyDescent="0.2">
      <c r="B271" s="22"/>
      <c r="C271" s="22"/>
      <c r="D271" s="22"/>
      <c r="E271" s="22"/>
      <c r="G271" s="100"/>
      <c r="H271" s="230" t="s">
        <v>265</v>
      </c>
      <c r="I271" s="230"/>
      <c r="J271" s="230"/>
      <c r="K271" s="145">
        <f>SUM(B247:B257,B259:B269)</f>
        <v>0</v>
      </c>
    </row>
    <row r="272" spans="2:11" ht="18" customHeight="1" x14ac:dyDescent="0.2">
      <c r="B272" s="22"/>
      <c r="C272" s="22"/>
      <c r="D272" s="22"/>
      <c r="E272" s="22"/>
      <c r="G272" s="100"/>
      <c r="H272" s="230" t="s">
        <v>266</v>
      </c>
      <c r="I272" s="230"/>
      <c r="J272" s="230"/>
      <c r="K272" s="145">
        <f>(SUMPRODUCT(B247:B257,H247:H257)+SUMPRODUCT(B259:B269,H259:H269))</f>
        <v>0</v>
      </c>
    </row>
    <row r="273" spans="1:14" ht="14.1" customHeight="1" x14ac:dyDescent="0.2">
      <c r="B273" s="22"/>
      <c r="C273" s="22"/>
      <c r="D273" s="22"/>
      <c r="E273" s="22"/>
      <c r="F273" s="22"/>
      <c r="G273" s="22"/>
      <c r="H273" s="22"/>
      <c r="I273" s="22"/>
      <c r="J273" s="22"/>
      <c r="K273" s="22"/>
    </row>
    <row r="274" spans="1:14" ht="14.1" customHeight="1" x14ac:dyDescent="0.2">
      <c r="B274" s="23" t="s">
        <v>267</v>
      </c>
      <c r="C274" s="22"/>
      <c r="D274" s="22"/>
      <c r="E274" s="22"/>
      <c r="F274" s="22"/>
      <c r="G274" s="22"/>
      <c r="H274" s="22"/>
      <c r="I274" s="22"/>
      <c r="J274" s="22"/>
      <c r="K274" s="22"/>
    </row>
    <row r="275" spans="1:14" ht="14.1" customHeight="1" x14ac:dyDescent="0.2">
      <c r="B275" s="22"/>
      <c r="C275" s="22"/>
      <c r="D275" s="22"/>
      <c r="E275" s="22"/>
      <c r="F275" s="22"/>
      <c r="G275" s="22"/>
      <c r="H275" s="22"/>
      <c r="I275" s="22"/>
      <c r="J275" s="22"/>
      <c r="K275" s="22"/>
    </row>
    <row r="276" spans="1:14" ht="30" customHeight="1" x14ac:dyDescent="0.2">
      <c r="A276" s="224" t="s">
        <v>62</v>
      </c>
      <c r="B276" s="224"/>
      <c r="C276" s="224"/>
      <c r="D276" s="224"/>
      <c r="E276" s="224"/>
      <c r="F276" s="224"/>
      <c r="G276" s="224"/>
      <c r="H276" s="224"/>
      <c r="I276" s="224"/>
      <c r="J276" s="224"/>
      <c r="K276" s="224"/>
      <c r="L276" s="224"/>
      <c r="M276" s="224"/>
      <c r="N276" s="224"/>
    </row>
    <row r="277" spans="1:14" ht="14.1" customHeight="1" x14ac:dyDescent="0.2">
      <c r="B277" s="22"/>
      <c r="C277" s="22"/>
      <c r="D277" s="22"/>
      <c r="E277" s="22"/>
      <c r="F277" s="22"/>
      <c r="G277" s="22"/>
      <c r="H277" s="22"/>
      <c r="I277" s="22"/>
      <c r="J277" s="22"/>
      <c r="K277" s="22"/>
    </row>
    <row r="278" spans="1:14" ht="14.1" customHeight="1" x14ac:dyDescent="0.2">
      <c r="B278" s="22"/>
      <c r="C278" s="22"/>
      <c r="D278" s="22"/>
      <c r="E278" s="22"/>
      <c r="F278" s="22"/>
      <c r="G278" s="22"/>
      <c r="H278" s="22"/>
      <c r="I278" s="22"/>
      <c r="J278" s="22"/>
      <c r="K278" s="22"/>
    </row>
    <row r="279" spans="1:14" ht="21" customHeight="1" x14ac:dyDescent="0.2">
      <c r="B279" s="227" t="s">
        <v>252</v>
      </c>
      <c r="C279" s="227"/>
      <c r="D279" s="227"/>
      <c r="E279" s="227"/>
      <c r="F279" s="227"/>
      <c r="G279" s="227"/>
      <c r="H279" s="227"/>
      <c r="I279" s="227"/>
      <c r="J279" s="227"/>
      <c r="K279" s="227"/>
    </row>
    <row r="280" spans="1:14" ht="27.75" customHeight="1" x14ac:dyDescent="0.2">
      <c r="B280" s="228" t="s">
        <v>255</v>
      </c>
      <c r="C280" s="230" t="s">
        <v>261</v>
      </c>
      <c r="D280" s="230"/>
      <c r="E280" s="228" t="s">
        <v>106</v>
      </c>
      <c r="F280" s="228" t="s">
        <v>254</v>
      </c>
      <c r="G280" s="228" t="s">
        <v>259</v>
      </c>
      <c r="H280" s="228" t="s">
        <v>263</v>
      </c>
      <c r="I280" s="228" t="s">
        <v>262</v>
      </c>
      <c r="J280" s="228"/>
      <c r="K280" s="228" t="s">
        <v>260</v>
      </c>
    </row>
    <row r="281" spans="1:14" ht="21.75" customHeight="1" x14ac:dyDescent="0.2">
      <c r="B281" s="230"/>
      <c r="C281" s="192" t="s">
        <v>257</v>
      </c>
      <c r="D281" s="192" t="s">
        <v>258</v>
      </c>
      <c r="E281" s="228"/>
      <c r="F281" s="230"/>
      <c r="G281" s="228"/>
      <c r="H281" s="228"/>
      <c r="I281" s="192" t="s">
        <v>257</v>
      </c>
      <c r="J281" s="192" t="s">
        <v>258</v>
      </c>
      <c r="K281" s="228"/>
    </row>
    <row r="282" spans="1:14" ht="14.1" customHeight="1" x14ac:dyDescent="0.2">
      <c r="B282" s="8"/>
      <c r="C282" s="44">
        <v>102</v>
      </c>
      <c r="D282" s="44">
        <v>102</v>
      </c>
      <c r="E282" s="210">
        <v>7.5</v>
      </c>
      <c r="F282" s="9">
        <v>0</v>
      </c>
      <c r="G282" s="166">
        <f t="shared" ref="G282:G335" si="43">E282-(E282*F282)</f>
        <v>7.5</v>
      </c>
      <c r="H282" s="44">
        <v>63</v>
      </c>
      <c r="I282" s="102">
        <f>$C$282+41</f>
        <v>143</v>
      </c>
      <c r="J282" s="99">
        <f>D282+41</f>
        <v>143</v>
      </c>
      <c r="K282" s="166">
        <f t="shared" ref="K282:K335" si="44">(B282*G282)+(B282*J282)</f>
        <v>0</v>
      </c>
    </row>
    <row r="283" spans="1:14" ht="14.1" customHeight="1" x14ac:dyDescent="0.2">
      <c r="B283" s="8"/>
      <c r="C283" s="331">
        <v>152</v>
      </c>
      <c r="D283" s="44">
        <v>102</v>
      </c>
      <c r="E283" s="210">
        <v>8.5500000000000007</v>
      </c>
      <c r="F283" s="38">
        <f>$F$282</f>
        <v>0</v>
      </c>
      <c r="G283" s="166">
        <f t="shared" si="43"/>
        <v>8.5500000000000007</v>
      </c>
      <c r="H283" s="44">
        <v>98</v>
      </c>
      <c r="I283" s="102">
        <f>$C$283+41</f>
        <v>193</v>
      </c>
      <c r="J283" s="99">
        <f t="shared" ref="J283:J336" si="45">D283+41</f>
        <v>143</v>
      </c>
      <c r="K283" s="166">
        <f t="shared" si="44"/>
        <v>0</v>
      </c>
    </row>
    <row r="284" spans="1:14" ht="14.1" customHeight="1" x14ac:dyDescent="0.2">
      <c r="B284" s="8"/>
      <c r="C284" s="331"/>
      <c r="D284" s="44">
        <v>152</v>
      </c>
      <c r="E284" s="210">
        <v>9</v>
      </c>
      <c r="F284" s="38">
        <f t="shared" ref="F284:F336" si="46">$F$282</f>
        <v>0</v>
      </c>
      <c r="G284" s="166">
        <f t="shared" si="43"/>
        <v>9</v>
      </c>
      <c r="H284" s="44">
        <v>152</v>
      </c>
      <c r="I284" s="102">
        <f>$C$283+41</f>
        <v>193</v>
      </c>
      <c r="J284" s="99">
        <f t="shared" si="45"/>
        <v>193</v>
      </c>
      <c r="K284" s="166">
        <f t="shared" si="44"/>
        <v>0</v>
      </c>
    </row>
    <row r="285" spans="1:14" ht="14.1" customHeight="1" x14ac:dyDescent="0.2">
      <c r="B285" s="8"/>
      <c r="C285" s="331">
        <v>203</v>
      </c>
      <c r="D285" s="44">
        <v>102</v>
      </c>
      <c r="E285" s="210">
        <v>8.77</v>
      </c>
      <c r="F285" s="38">
        <f t="shared" si="46"/>
        <v>0</v>
      </c>
      <c r="G285" s="166">
        <f t="shared" si="43"/>
        <v>8.77</v>
      </c>
      <c r="H285" s="44">
        <v>125</v>
      </c>
      <c r="I285" s="102">
        <f>$C$285+41</f>
        <v>244</v>
      </c>
      <c r="J285" s="99">
        <f t="shared" si="45"/>
        <v>143</v>
      </c>
      <c r="K285" s="166">
        <f t="shared" si="44"/>
        <v>0</v>
      </c>
    </row>
    <row r="286" spans="1:14" ht="14.1" customHeight="1" x14ac:dyDescent="0.2">
      <c r="B286" s="8"/>
      <c r="C286" s="331"/>
      <c r="D286" s="44">
        <v>152</v>
      </c>
      <c r="E286" s="210">
        <v>9.75</v>
      </c>
      <c r="F286" s="38">
        <f t="shared" si="46"/>
        <v>0</v>
      </c>
      <c r="G286" s="166">
        <f t="shared" si="43"/>
        <v>9.75</v>
      </c>
      <c r="H286" s="44">
        <v>193</v>
      </c>
      <c r="I286" s="102">
        <f t="shared" ref="I286:I287" si="47">$C$285+41</f>
        <v>244</v>
      </c>
      <c r="J286" s="99">
        <f t="shared" si="45"/>
        <v>193</v>
      </c>
      <c r="K286" s="166">
        <f t="shared" si="44"/>
        <v>0</v>
      </c>
    </row>
    <row r="287" spans="1:14" ht="14.1" customHeight="1" x14ac:dyDescent="0.2">
      <c r="B287" s="8"/>
      <c r="C287" s="331"/>
      <c r="D287" s="44">
        <v>203</v>
      </c>
      <c r="E287" s="210">
        <v>10.5</v>
      </c>
      <c r="F287" s="38">
        <f t="shared" si="46"/>
        <v>0</v>
      </c>
      <c r="G287" s="166">
        <f t="shared" si="43"/>
        <v>10.5</v>
      </c>
      <c r="H287" s="44">
        <v>262</v>
      </c>
      <c r="I287" s="102">
        <f t="shared" si="47"/>
        <v>244</v>
      </c>
      <c r="J287" s="99">
        <f t="shared" si="45"/>
        <v>244</v>
      </c>
      <c r="K287" s="166">
        <f t="shared" si="44"/>
        <v>0</v>
      </c>
    </row>
    <row r="288" spans="1:14" ht="14.1" customHeight="1" x14ac:dyDescent="0.2">
      <c r="B288" s="8"/>
      <c r="C288" s="331">
        <v>254</v>
      </c>
      <c r="D288" s="44">
        <v>102</v>
      </c>
      <c r="E288" s="210">
        <v>9.3800000000000008</v>
      </c>
      <c r="F288" s="38">
        <f t="shared" si="46"/>
        <v>0</v>
      </c>
      <c r="G288" s="166">
        <f t="shared" si="43"/>
        <v>9.3800000000000008</v>
      </c>
      <c r="H288" s="44">
        <v>161</v>
      </c>
      <c r="I288" s="102">
        <f>$C$288+41</f>
        <v>295</v>
      </c>
      <c r="J288" s="99">
        <f t="shared" si="45"/>
        <v>143</v>
      </c>
      <c r="K288" s="166">
        <f t="shared" si="44"/>
        <v>0</v>
      </c>
    </row>
    <row r="289" spans="2:11" ht="14.1" customHeight="1" x14ac:dyDescent="0.2">
      <c r="B289" s="8"/>
      <c r="C289" s="331"/>
      <c r="D289" s="44">
        <v>152</v>
      </c>
      <c r="E289" s="210">
        <v>10.27</v>
      </c>
      <c r="F289" s="38">
        <f t="shared" si="46"/>
        <v>0</v>
      </c>
      <c r="G289" s="166">
        <f t="shared" si="43"/>
        <v>10.27</v>
      </c>
      <c r="H289" s="44">
        <v>249</v>
      </c>
      <c r="I289" s="102">
        <f>$C$288+41</f>
        <v>295</v>
      </c>
      <c r="J289" s="99">
        <f t="shared" si="45"/>
        <v>193</v>
      </c>
      <c r="K289" s="166">
        <f t="shared" si="44"/>
        <v>0</v>
      </c>
    </row>
    <row r="290" spans="2:11" ht="14.1" customHeight="1" x14ac:dyDescent="0.2">
      <c r="B290" s="8"/>
      <c r="C290" s="331"/>
      <c r="D290" s="44">
        <v>203</v>
      </c>
      <c r="E290" s="210">
        <v>11.55</v>
      </c>
      <c r="F290" s="38">
        <f t="shared" si="46"/>
        <v>0</v>
      </c>
      <c r="G290" s="166">
        <f t="shared" si="43"/>
        <v>11.55</v>
      </c>
      <c r="H290" s="44">
        <v>336</v>
      </c>
      <c r="I290" s="102">
        <f>$C$288+41</f>
        <v>295</v>
      </c>
      <c r="J290" s="99">
        <f t="shared" si="45"/>
        <v>244</v>
      </c>
      <c r="K290" s="166">
        <f t="shared" si="44"/>
        <v>0</v>
      </c>
    </row>
    <row r="291" spans="2:11" ht="14.1" customHeight="1" x14ac:dyDescent="0.2">
      <c r="B291" s="8"/>
      <c r="C291" s="331"/>
      <c r="D291" s="44">
        <v>254</v>
      </c>
      <c r="E291" s="210">
        <v>16.05</v>
      </c>
      <c r="F291" s="38">
        <f t="shared" si="46"/>
        <v>0</v>
      </c>
      <c r="G291" s="166">
        <f t="shared" si="43"/>
        <v>16.05</v>
      </c>
      <c r="H291" s="44">
        <v>424</v>
      </c>
      <c r="I291" s="102">
        <f>$C$288+41</f>
        <v>295</v>
      </c>
      <c r="J291" s="99">
        <f t="shared" si="45"/>
        <v>295</v>
      </c>
      <c r="K291" s="166">
        <f t="shared" si="44"/>
        <v>0</v>
      </c>
    </row>
    <row r="292" spans="2:11" ht="14.1" customHeight="1" x14ac:dyDescent="0.2">
      <c r="B292" s="8"/>
      <c r="C292" s="331">
        <v>305</v>
      </c>
      <c r="D292" s="44">
        <v>102</v>
      </c>
      <c r="E292" s="210">
        <v>10.27</v>
      </c>
      <c r="F292" s="38">
        <f t="shared" si="46"/>
        <v>0</v>
      </c>
      <c r="G292" s="166">
        <f t="shared" si="43"/>
        <v>10.27</v>
      </c>
      <c r="H292" s="44">
        <v>197</v>
      </c>
      <c r="I292" s="102">
        <f>$C$292+41</f>
        <v>346</v>
      </c>
      <c r="J292" s="99">
        <f t="shared" si="45"/>
        <v>143</v>
      </c>
      <c r="K292" s="166">
        <f t="shared" si="44"/>
        <v>0</v>
      </c>
    </row>
    <row r="293" spans="2:11" ht="14.1" customHeight="1" x14ac:dyDescent="0.2">
      <c r="B293" s="8"/>
      <c r="C293" s="331"/>
      <c r="D293" s="44">
        <v>152</v>
      </c>
      <c r="E293" s="210">
        <v>11.55</v>
      </c>
      <c r="F293" s="38">
        <f t="shared" si="46"/>
        <v>0</v>
      </c>
      <c r="G293" s="166">
        <f t="shared" si="43"/>
        <v>11.55</v>
      </c>
      <c r="H293" s="44">
        <v>304</v>
      </c>
      <c r="I293" s="102">
        <f>$C$292+41</f>
        <v>346</v>
      </c>
      <c r="J293" s="99">
        <f t="shared" si="45"/>
        <v>193</v>
      </c>
      <c r="K293" s="166">
        <f t="shared" si="44"/>
        <v>0</v>
      </c>
    </row>
    <row r="294" spans="2:11" ht="14.1" customHeight="1" x14ac:dyDescent="0.2">
      <c r="B294" s="8"/>
      <c r="C294" s="331"/>
      <c r="D294" s="44">
        <v>203</v>
      </c>
      <c r="E294" s="210">
        <v>14.1</v>
      </c>
      <c r="F294" s="38">
        <f t="shared" si="46"/>
        <v>0</v>
      </c>
      <c r="G294" s="166">
        <f t="shared" si="43"/>
        <v>14.1</v>
      </c>
      <c r="H294" s="44">
        <v>411</v>
      </c>
      <c r="I294" s="102">
        <f>$C$292+41</f>
        <v>346</v>
      </c>
      <c r="J294" s="99">
        <f t="shared" si="45"/>
        <v>244</v>
      </c>
      <c r="K294" s="166">
        <f t="shared" si="44"/>
        <v>0</v>
      </c>
    </row>
    <row r="295" spans="2:11" ht="14.1" customHeight="1" x14ac:dyDescent="0.2">
      <c r="B295" s="8"/>
      <c r="C295" s="331"/>
      <c r="D295" s="44">
        <v>254</v>
      </c>
      <c r="E295" s="210">
        <v>19.28</v>
      </c>
      <c r="F295" s="38">
        <f t="shared" si="46"/>
        <v>0</v>
      </c>
      <c r="G295" s="166">
        <f t="shared" si="43"/>
        <v>19.28</v>
      </c>
      <c r="H295" s="44">
        <v>519</v>
      </c>
      <c r="I295" s="102">
        <f>$C$292+41</f>
        <v>346</v>
      </c>
      <c r="J295" s="99">
        <f t="shared" si="45"/>
        <v>295</v>
      </c>
      <c r="K295" s="166">
        <f t="shared" si="44"/>
        <v>0</v>
      </c>
    </row>
    <row r="296" spans="2:11" ht="14.1" customHeight="1" x14ac:dyDescent="0.2">
      <c r="B296" s="8"/>
      <c r="C296" s="331"/>
      <c r="D296" s="44">
        <v>305</v>
      </c>
      <c r="E296" s="210">
        <v>23.03</v>
      </c>
      <c r="F296" s="38">
        <f t="shared" si="46"/>
        <v>0</v>
      </c>
      <c r="G296" s="166">
        <f t="shared" si="43"/>
        <v>23.03</v>
      </c>
      <c r="H296" s="44">
        <v>626</v>
      </c>
      <c r="I296" s="102">
        <f>$C$292+41</f>
        <v>346</v>
      </c>
      <c r="J296" s="99">
        <f t="shared" si="45"/>
        <v>346</v>
      </c>
      <c r="K296" s="166">
        <f t="shared" si="44"/>
        <v>0</v>
      </c>
    </row>
    <row r="297" spans="2:11" ht="14.1" customHeight="1" x14ac:dyDescent="0.2">
      <c r="B297" s="8"/>
      <c r="C297" s="331">
        <v>356</v>
      </c>
      <c r="D297" s="44">
        <v>102</v>
      </c>
      <c r="E297" s="210">
        <v>13.36</v>
      </c>
      <c r="F297" s="38">
        <f t="shared" si="46"/>
        <v>0</v>
      </c>
      <c r="G297" s="166">
        <f t="shared" si="43"/>
        <v>13.36</v>
      </c>
      <c r="H297" s="44">
        <v>232</v>
      </c>
      <c r="I297" s="102">
        <f t="shared" ref="I297:I302" si="48">$C$297+41</f>
        <v>397</v>
      </c>
      <c r="J297" s="99">
        <f t="shared" si="45"/>
        <v>143</v>
      </c>
      <c r="K297" s="166">
        <f t="shared" si="44"/>
        <v>0</v>
      </c>
    </row>
    <row r="298" spans="2:11" ht="14.1" customHeight="1" x14ac:dyDescent="0.2">
      <c r="B298" s="8"/>
      <c r="C298" s="331"/>
      <c r="D298" s="44">
        <v>152</v>
      </c>
      <c r="E298" s="210">
        <v>14.7</v>
      </c>
      <c r="F298" s="38">
        <f t="shared" si="46"/>
        <v>0</v>
      </c>
      <c r="G298" s="166">
        <f t="shared" si="43"/>
        <v>14.7</v>
      </c>
      <c r="H298" s="44">
        <v>359</v>
      </c>
      <c r="I298" s="102">
        <f t="shared" si="48"/>
        <v>397</v>
      </c>
      <c r="J298" s="99">
        <f t="shared" si="45"/>
        <v>193</v>
      </c>
      <c r="K298" s="166">
        <f t="shared" si="44"/>
        <v>0</v>
      </c>
    </row>
    <row r="299" spans="2:11" ht="14.1" customHeight="1" x14ac:dyDescent="0.2">
      <c r="B299" s="8"/>
      <c r="C299" s="331"/>
      <c r="D299" s="44">
        <v>203</v>
      </c>
      <c r="E299" s="210">
        <v>16.2</v>
      </c>
      <c r="F299" s="38">
        <f t="shared" si="46"/>
        <v>0</v>
      </c>
      <c r="G299" s="166">
        <f t="shared" si="43"/>
        <v>16.2</v>
      </c>
      <c r="H299" s="44">
        <v>486</v>
      </c>
      <c r="I299" s="102">
        <f t="shared" si="48"/>
        <v>397</v>
      </c>
      <c r="J299" s="99">
        <f t="shared" si="45"/>
        <v>244</v>
      </c>
      <c r="K299" s="166">
        <f t="shared" si="44"/>
        <v>0</v>
      </c>
    </row>
    <row r="300" spans="2:11" ht="14.1" customHeight="1" x14ac:dyDescent="0.2">
      <c r="B300" s="8"/>
      <c r="C300" s="331"/>
      <c r="D300" s="44">
        <v>254</v>
      </c>
      <c r="E300" s="210">
        <v>24.38</v>
      </c>
      <c r="F300" s="38">
        <f t="shared" si="46"/>
        <v>0</v>
      </c>
      <c r="G300" s="166">
        <f t="shared" si="43"/>
        <v>24.38</v>
      </c>
      <c r="H300" s="44">
        <v>613</v>
      </c>
      <c r="I300" s="102">
        <f t="shared" si="48"/>
        <v>397</v>
      </c>
      <c r="J300" s="99">
        <f t="shared" si="45"/>
        <v>295</v>
      </c>
      <c r="K300" s="166">
        <f t="shared" si="44"/>
        <v>0</v>
      </c>
    </row>
    <row r="301" spans="2:11" ht="14.1" customHeight="1" x14ac:dyDescent="0.2">
      <c r="B301" s="8"/>
      <c r="C301" s="331"/>
      <c r="D301" s="44">
        <v>305</v>
      </c>
      <c r="E301" s="210">
        <v>26.1</v>
      </c>
      <c r="F301" s="38">
        <f t="shared" si="46"/>
        <v>0</v>
      </c>
      <c r="G301" s="166">
        <f t="shared" si="43"/>
        <v>26.1</v>
      </c>
      <c r="H301" s="44">
        <v>740</v>
      </c>
      <c r="I301" s="102">
        <f t="shared" si="48"/>
        <v>397</v>
      </c>
      <c r="J301" s="99">
        <f t="shared" si="45"/>
        <v>346</v>
      </c>
      <c r="K301" s="166">
        <f t="shared" si="44"/>
        <v>0</v>
      </c>
    </row>
    <row r="302" spans="2:11" ht="14.1" customHeight="1" x14ac:dyDescent="0.2">
      <c r="B302" s="8"/>
      <c r="C302" s="331"/>
      <c r="D302" s="44">
        <v>356</v>
      </c>
      <c r="E302" s="210">
        <v>30.68</v>
      </c>
      <c r="F302" s="38">
        <f t="shared" si="46"/>
        <v>0</v>
      </c>
      <c r="G302" s="166">
        <f t="shared" si="43"/>
        <v>30.68</v>
      </c>
      <c r="H302" s="44">
        <v>866</v>
      </c>
      <c r="I302" s="102">
        <f t="shared" si="48"/>
        <v>397</v>
      </c>
      <c r="J302" s="99">
        <f t="shared" si="45"/>
        <v>397</v>
      </c>
      <c r="K302" s="166">
        <f t="shared" si="44"/>
        <v>0</v>
      </c>
    </row>
    <row r="303" spans="2:11" ht="14.1" customHeight="1" x14ac:dyDescent="0.2">
      <c r="B303" s="8"/>
      <c r="C303" s="331">
        <v>406</v>
      </c>
      <c r="D303" s="44">
        <v>102</v>
      </c>
      <c r="E303" s="210">
        <v>22.28</v>
      </c>
      <c r="F303" s="38">
        <f t="shared" si="46"/>
        <v>0</v>
      </c>
      <c r="G303" s="166">
        <f t="shared" si="43"/>
        <v>22.28</v>
      </c>
      <c r="H303" s="44">
        <v>241</v>
      </c>
      <c r="I303" s="102">
        <f t="shared" ref="I303:I309" si="49">$C$303+41</f>
        <v>447</v>
      </c>
      <c r="J303" s="99">
        <f t="shared" si="45"/>
        <v>143</v>
      </c>
      <c r="K303" s="166">
        <f t="shared" si="44"/>
        <v>0</v>
      </c>
    </row>
    <row r="304" spans="2:11" ht="14.1" customHeight="1" x14ac:dyDescent="0.2">
      <c r="B304" s="8"/>
      <c r="C304" s="331"/>
      <c r="D304" s="44">
        <v>152</v>
      </c>
      <c r="E304" s="210">
        <v>22.73</v>
      </c>
      <c r="F304" s="38">
        <f t="shared" si="46"/>
        <v>0</v>
      </c>
      <c r="G304" s="166">
        <f t="shared" si="43"/>
        <v>22.73</v>
      </c>
      <c r="H304" s="44">
        <v>373</v>
      </c>
      <c r="I304" s="102">
        <f t="shared" si="49"/>
        <v>447</v>
      </c>
      <c r="J304" s="99">
        <f t="shared" si="45"/>
        <v>193</v>
      </c>
      <c r="K304" s="166">
        <f t="shared" si="44"/>
        <v>0</v>
      </c>
    </row>
    <row r="305" spans="2:11" ht="14.1" customHeight="1" x14ac:dyDescent="0.2">
      <c r="B305" s="8"/>
      <c r="C305" s="331"/>
      <c r="D305" s="44">
        <v>203</v>
      </c>
      <c r="E305" s="210">
        <v>25.05</v>
      </c>
      <c r="F305" s="38">
        <f t="shared" si="46"/>
        <v>0</v>
      </c>
      <c r="G305" s="166">
        <f t="shared" si="43"/>
        <v>25.05</v>
      </c>
      <c r="H305" s="44">
        <v>505</v>
      </c>
      <c r="I305" s="102">
        <f t="shared" si="49"/>
        <v>447</v>
      </c>
      <c r="J305" s="99">
        <f t="shared" si="45"/>
        <v>244</v>
      </c>
      <c r="K305" s="166">
        <f t="shared" si="44"/>
        <v>0</v>
      </c>
    </row>
    <row r="306" spans="2:11" ht="14.1" customHeight="1" x14ac:dyDescent="0.2">
      <c r="B306" s="8"/>
      <c r="C306" s="331"/>
      <c r="D306" s="44">
        <v>254</v>
      </c>
      <c r="E306" s="210">
        <v>26.63</v>
      </c>
      <c r="F306" s="38">
        <f t="shared" si="46"/>
        <v>0</v>
      </c>
      <c r="G306" s="166">
        <f t="shared" si="43"/>
        <v>26.63</v>
      </c>
      <c r="H306" s="44">
        <v>636</v>
      </c>
      <c r="I306" s="102">
        <f t="shared" si="49"/>
        <v>447</v>
      </c>
      <c r="J306" s="99">
        <f t="shared" si="45"/>
        <v>295</v>
      </c>
      <c r="K306" s="166">
        <f t="shared" si="44"/>
        <v>0</v>
      </c>
    </row>
    <row r="307" spans="2:11" ht="14.1" customHeight="1" x14ac:dyDescent="0.2">
      <c r="B307" s="8"/>
      <c r="C307" s="331"/>
      <c r="D307" s="44">
        <v>305</v>
      </c>
      <c r="E307" s="210">
        <v>31.2</v>
      </c>
      <c r="F307" s="38">
        <f t="shared" si="46"/>
        <v>0</v>
      </c>
      <c r="G307" s="166">
        <f t="shared" si="43"/>
        <v>31.2</v>
      </c>
      <c r="H307" s="44">
        <v>768</v>
      </c>
      <c r="I307" s="102">
        <f t="shared" si="49"/>
        <v>447</v>
      </c>
      <c r="J307" s="99">
        <f t="shared" si="45"/>
        <v>346</v>
      </c>
      <c r="K307" s="166">
        <f t="shared" si="44"/>
        <v>0</v>
      </c>
    </row>
    <row r="308" spans="2:11" ht="14.1" customHeight="1" x14ac:dyDescent="0.2">
      <c r="B308" s="8"/>
      <c r="C308" s="331"/>
      <c r="D308" s="44">
        <v>356</v>
      </c>
      <c r="E308" s="210">
        <v>34.43</v>
      </c>
      <c r="F308" s="38">
        <f t="shared" si="46"/>
        <v>0</v>
      </c>
      <c r="G308" s="166">
        <f t="shared" si="43"/>
        <v>34.43</v>
      </c>
      <c r="H308" s="44">
        <v>900</v>
      </c>
      <c r="I308" s="102">
        <f t="shared" si="49"/>
        <v>447</v>
      </c>
      <c r="J308" s="99">
        <f t="shared" si="45"/>
        <v>397</v>
      </c>
      <c r="K308" s="166">
        <f t="shared" si="44"/>
        <v>0</v>
      </c>
    </row>
    <row r="309" spans="2:11" ht="14.1" customHeight="1" x14ac:dyDescent="0.2">
      <c r="B309" s="8"/>
      <c r="C309" s="331"/>
      <c r="D309" s="44">
        <v>406</v>
      </c>
      <c r="E309" s="210">
        <v>42.22</v>
      </c>
      <c r="F309" s="38">
        <f t="shared" si="46"/>
        <v>0</v>
      </c>
      <c r="G309" s="166">
        <f t="shared" si="43"/>
        <v>42.22</v>
      </c>
      <c r="H309" s="44">
        <v>1031</v>
      </c>
      <c r="I309" s="102">
        <f t="shared" si="49"/>
        <v>447</v>
      </c>
      <c r="J309" s="99">
        <f t="shared" si="45"/>
        <v>447</v>
      </c>
      <c r="K309" s="166">
        <f t="shared" si="44"/>
        <v>0</v>
      </c>
    </row>
    <row r="310" spans="2:11" ht="14.1" customHeight="1" x14ac:dyDescent="0.2">
      <c r="B310" s="8"/>
      <c r="C310" s="331">
        <v>457</v>
      </c>
      <c r="D310" s="44">
        <v>102</v>
      </c>
      <c r="E310" s="210">
        <v>27.45</v>
      </c>
      <c r="F310" s="38">
        <f t="shared" si="46"/>
        <v>0</v>
      </c>
      <c r="G310" s="166">
        <f t="shared" si="43"/>
        <v>27.45</v>
      </c>
      <c r="H310" s="44">
        <v>295</v>
      </c>
      <c r="I310" s="102">
        <f t="shared" ref="I310:I317" si="50">$C$310+41</f>
        <v>498</v>
      </c>
      <c r="J310" s="99">
        <f t="shared" si="45"/>
        <v>143</v>
      </c>
      <c r="K310" s="166">
        <f t="shared" si="44"/>
        <v>0</v>
      </c>
    </row>
    <row r="311" spans="2:11" ht="14.1" customHeight="1" x14ac:dyDescent="0.2">
      <c r="B311" s="8"/>
      <c r="C311" s="331"/>
      <c r="D311" s="44">
        <v>152</v>
      </c>
      <c r="E311" s="210">
        <v>27.75</v>
      </c>
      <c r="F311" s="38">
        <f t="shared" si="46"/>
        <v>0</v>
      </c>
      <c r="G311" s="166">
        <f t="shared" si="43"/>
        <v>27.75</v>
      </c>
      <c r="H311" s="44">
        <v>456</v>
      </c>
      <c r="I311" s="102">
        <f t="shared" si="50"/>
        <v>498</v>
      </c>
      <c r="J311" s="99">
        <f t="shared" si="45"/>
        <v>193</v>
      </c>
      <c r="K311" s="166">
        <f t="shared" si="44"/>
        <v>0</v>
      </c>
    </row>
    <row r="312" spans="2:11" ht="14.1" customHeight="1" x14ac:dyDescent="0.2">
      <c r="B312" s="8"/>
      <c r="C312" s="331"/>
      <c r="D312" s="44">
        <v>203</v>
      </c>
      <c r="E312" s="210">
        <v>29.4</v>
      </c>
      <c r="F312" s="38">
        <f t="shared" si="46"/>
        <v>0</v>
      </c>
      <c r="G312" s="166">
        <f t="shared" si="43"/>
        <v>29.4</v>
      </c>
      <c r="H312" s="44">
        <v>617</v>
      </c>
      <c r="I312" s="102">
        <f t="shared" si="50"/>
        <v>498</v>
      </c>
      <c r="J312" s="99">
        <f t="shared" si="45"/>
        <v>244</v>
      </c>
      <c r="K312" s="166">
        <f t="shared" si="44"/>
        <v>0</v>
      </c>
    </row>
    <row r="313" spans="2:11" ht="14.1" customHeight="1" x14ac:dyDescent="0.2">
      <c r="B313" s="8"/>
      <c r="C313" s="331"/>
      <c r="D313" s="44">
        <v>254</v>
      </c>
      <c r="E313" s="210">
        <v>30.44</v>
      </c>
      <c r="F313" s="38">
        <f t="shared" si="46"/>
        <v>0</v>
      </c>
      <c r="G313" s="166">
        <f t="shared" si="43"/>
        <v>30.44</v>
      </c>
      <c r="H313" s="44">
        <v>778</v>
      </c>
      <c r="I313" s="102">
        <f t="shared" si="50"/>
        <v>498</v>
      </c>
      <c r="J313" s="99">
        <f t="shared" si="45"/>
        <v>295</v>
      </c>
      <c r="K313" s="166">
        <f t="shared" si="44"/>
        <v>0</v>
      </c>
    </row>
    <row r="314" spans="2:11" ht="14.1" customHeight="1" x14ac:dyDescent="0.2">
      <c r="B314" s="8"/>
      <c r="C314" s="331"/>
      <c r="D314" s="44">
        <v>305</v>
      </c>
      <c r="E314" s="210">
        <v>33.75</v>
      </c>
      <c r="F314" s="38">
        <f t="shared" si="46"/>
        <v>0</v>
      </c>
      <c r="G314" s="166">
        <f t="shared" si="43"/>
        <v>33.75</v>
      </c>
      <c r="H314" s="44">
        <v>939</v>
      </c>
      <c r="I314" s="102">
        <f t="shared" si="50"/>
        <v>498</v>
      </c>
      <c r="J314" s="99">
        <f t="shared" si="45"/>
        <v>346</v>
      </c>
      <c r="K314" s="166">
        <f t="shared" si="44"/>
        <v>0</v>
      </c>
    </row>
    <row r="315" spans="2:11" ht="14.1" customHeight="1" x14ac:dyDescent="0.2">
      <c r="B315" s="8"/>
      <c r="C315" s="331"/>
      <c r="D315" s="44">
        <v>356</v>
      </c>
      <c r="E315" s="210">
        <v>41.7</v>
      </c>
      <c r="F315" s="38">
        <f t="shared" si="46"/>
        <v>0</v>
      </c>
      <c r="G315" s="166">
        <f t="shared" si="43"/>
        <v>41.7</v>
      </c>
      <c r="H315" s="44">
        <v>1100</v>
      </c>
      <c r="I315" s="102">
        <f t="shared" si="50"/>
        <v>498</v>
      </c>
      <c r="J315" s="99">
        <f t="shared" si="45"/>
        <v>397</v>
      </c>
      <c r="K315" s="166">
        <f t="shared" si="44"/>
        <v>0</v>
      </c>
    </row>
    <row r="316" spans="2:11" ht="14.1" customHeight="1" x14ac:dyDescent="0.2">
      <c r="B316" s="8"/>
      <c r="C316" s="331"/>
      <c r="D316" s="44">
        <v>406</v>
      </c>
      <c r="E316" s="210">
        <v>44.48</v>
      </c>
      <c r="F316" s="38">
        <f t="shared" si="46"/>
        <v>0</v>
      </c>
      <c r="G316" s="166">
        <f t="shared" si="43"/>
        <v>44.48</v>
      </c>
      <c r="H316" s="44">
        <v>1261</v>
      </c>
      <c r="I316" s="102">
        <f t="shared" si="50"/>
        <v>498</v>
      </c>
      <c r="J316" s="99">
        <f t="shared" si="45"/>
        <v>447</v>
      </c>
      <c r="K316" s="166">
        <f t="shared" si="44"/>
        <v>0</v>
      </c>
    </row>
    <row r="317" spans="2:11" ht="14.1" customHeight="1" x14ac:dyDescent="0.2">
      <c r="B317" s="8"/>
      <c r="C317" s="331"/>
      <c r="D317" s="44">
        <v>457</v>
      </c>
      <c r="E317" s="210">
        <v>46.36</v>
      </c>
      <c r="F317" s="38">
        <f t="shared" si="46"/>
        <v>0</v>
      </c>
      <c r="G317" s="166">
        <f t="shared" si="43"/>
        <v>46.36</v>
      </c>
      <c r="H317" s="44">
        <v>1422</v>
      </c>
      <c r="I317" s="102">
        <f t="shared" si="50"/>
        <v>498</v>
      </c>
      <c r="J317" s="99">
        <f t="shared" si="45"/>
        <v>498</v>
      </c>
      <c r="K317" s="166">
        <f t="shared" si="44"/>
        <v>0</v>
      </c>
    </row>
    <row r="318" spans="2:11" ht="14.1" customHeight="1" x14ac:dyDescent="0.2">
      <c r="B318" s="8"/>
      <c r="C318" s="331">
        <v>508</v>
      </c>
      <c r="D318" s="44">
        <v>102</v>
      </c>
      <c r="E318" s="210">
        <v>28.43</v>
      </c>
      <c r="F318" s="38">
        <f t="shared" si="46"/>
        <v>0</v>
      </c>
      <c r="G318" s="166">
        <f t="shared" si="43"/>
        <v>28.43</v>
      </c>
      <c r="H318" s="44">
        <v>322</v>
      </c>
      <c r="I318" s="102">
        <f t="shared" ref="I318:I326" si="51">$C$318+41</f>
        <v>549</v>
      </c>
      <c r="J318" s="99">
        <f t="shared" si="45"/>
        <v>143</v>
      </c>
      <c r="K318" s="166">
        <f t="shared" si="44"/>
        <v>0</v>
      </c>
    </row>
    <row r="319" spans="2:11" ht="14.1" customHeight="1" x14ac:dyDescent="0.2">
      <c r="B319" s="8"/>
      <c r="C319" s="331"/>
      <c r="D319" s="44">
        <v>152</v>
      </c>
      <c r="E319" s="210">
        <v>29.4</v>
      </c>
      <c r="F319" s="38">
        <f t="shared" si="46"/>
        <v>0</v>
      </c>
      <c r="G319" s="166">
        <f t="shared" si="43"/>
        <v>29.4</v>
      </c>
      <c r="H319" s="44">
        <v>497</v>
      </c>
      <c r="I319" s="102">
        <f t="shared" si="51"/>
        <v>549</v>
      </c>
      <c r="J319" s="99">
        <f t="shared" si="45"/>
        <v>193</v>
      </c>
      <c r="K319" s="166">
        <f t="shared" si="44"/>
        <v>0</v>
      </c>
    </row>
    <row r="320" spans="2:11" ht="14.1" customHeight="1" x14ac:dyDescent="0.2">
      <c r="B320" s="8"/>
      <c r="C320" s="331"/>
      <c r="D320" s="44">
        <v>203</v>
      </c>
      <c r="E320" s="210">
        <v>37.35</v>
      </c>
      <c r="F320" s="38">
        <f t="shared" si="46"/>
        <v>0</v>
      </c>
      <c r="G320" s="166">
        <f t="shared" si="43"/>
        <v>37.35</v>
      </c>
      <c r="H320" s="44">
        <v>673</v>
      </c>
      <c r="I320" s="102">
        <f t="shared" si="51"/>
        <v>549</v>
      </c>
      <c r="J320" s="99">
        <f t="shared" si="45"/>
        <v>244</v>
      </c>
      <c r="K320" s="166">
        <f t="shared" si="44"/>
        <v>0</v>
      </c>
    </row>
    <row r="321" spans="2:11" ht="14.1" customHeight="1" x14ac:dyDescent="0.2">
      <c r="B321" s="8"/>
      <c r="C321" s="331"/>
      <c r="D321" s="44">
        <v>254</v>
      </c>
      <c r="E321" s="210">
        <v>59.93</v>
      </c>
      <c r="F321" s="38">
        <f t="shared" si="46"/>
        <v>0</v>
      </c>
      <c r="G321" s="166">
        <f t="shared" si="43"/>
        <v>59.93</v>
      </c>
      <c r="H321" s="44">
        <v>849</v>
      </c>
      <c r="I321" s="102">
        <f t="shared" si="51"/>
        <v>549</v>
      </c>
      <c r="J321" s="99">
        <f t="shared" si="45"/>
        <v>295</v>
      </c>
      <c r="K321" s="166">
        <f t="shared" si="44"/>
        <v>0</v>
      </c>
    </row>
    <row r="322" spans="2:11" ht="14.1" customHeight="1" x14ac:dyDescent="0.2">
      <c r="B322" s="8"/>
      <c r="C322" s="331"/>
      <c r="D322" s="44">
        <v>305</v>
      </c>
      <c r="E322" s="210">
        <v>61.58</v>
      </c>
      <c r="F322" s="38">
        <f t="shared" si="46"/>
        <v>0</v>
      </c>
      <c r="G322" s="166">
        <f t="shared" si="43"/>
        <v>61.58</v>
      </c>
      <c r="H322" s="44">
        <v>1024</v>
      </c>
      <c r="I322" s="102">
        <f t="shared" si="51"/>
        <v>549</v>
      </c>
      <c r="J322" s="99">
        <f t="shared" si="45"/>
        <v>346</v>
      </c>
      <c r="K322" s="166">
        <f t="shared" si="44"/>
        <v>0</v>
      </c>
    </row>
    <row r="323" spans="2:11" ht="14.1" customHeight="1" x14ac:dyDescent="0.2">
      <c r="B323" s="8"/>
      <c r="C323" s="331"/>
      <c r="D323" s="44">
        <v>356</v>
      </c>
      <c r="E323" s="210">
        <v>63.15</v>
      </c>
      <c r="F323" s="38">
        <f t="shared" si="46"/>
        <v>0</v>
      </c>
      <c r="G323" s="166">
        <f t="shared" si="43"/>
        <v>63.15</v>
      </c>
      <c r="H323" s="44">
        <v>1200</v>
      </c>
      <c r="I323" s="102">
        <f t="shared" si="51"/>
        <v>549</v>
      </c>
      <c r="J323" s="99">
        <f t="shared" si="45"/>
        <v>397</v>
      </c>
      <c r="K323" s="166">
        <f t="shared" si="44"/>
        <v>0</v>
      </c>
    </row>
    <row r="324" spans="2:11" ht="14.1" customHeight="1" x14ac:dyDescent="0.2">
      <c r="B324" s="8"/>
      <c r="C324" s="331"/>
      <c r="D324" s="44">
        <v>406</v>
      </c>
      <c r="E324" s="210">
        <v>92.48</v>
      </c>
      <c r="F324" s="38">
        <f t="shared" si="46"/>
        <v>0</v>
      </c>
      <c r="G324" s="166">
        <f t="shared" si="43"/>
        <v>92.48</v>
      </c>
      <c r="H324" s="44">
        <v>1375</v>
      </c>
      <c r="I324" s="102">
        <f t="shared" si="51"/>
        <v>549</v>
      </c>
      <c r="J324" s="99">
        <f t="shared" si="45"/>
        <v>447</v>
      </c>
      <c r="K324" s="166">
        <f t="shared" si="44"/>
        <v>0</v>
      </c>
    </row>
    <row r="325" spans="2:11" ht="14.1" customHeight="1" x14ac:dyDescent="0.2">
      <c r="B325" s="8"/>
      <c r="C325" s="331"/>
      <c r="D325" s="44">
        <v>457</v>
      </c>
      <c r="E325" s="210">
        <v>103.2</v>
      </c>
      <c r="F325" s="38">
        <f t="shared" si="46"/>
        <v>0</v>
      </c>
      <c r="G325" s="166">
        <f t="shared" si="43"/>
        <v>103.2</v>
      </c>
      <c r="H325" s="44">
        <v>1551</v>
      </c>
      <c r="I325" s="102">
        <f t="shared" si="51"/>
        <v>549</v>
      </c>
      <c r="J325" s="99">
        <f t="shared" si="45"/>
        <v>498</v>
      </c>
      <c r="K325" s="166">
        <f t="shared" si="44"/>
        <v>0</v>
      </c>
    </row>
    <row r="326" spans="2:11" ht="14.1" customHeight="1" x14ac:dyDescent="0.2">
      <c r="B326" s="8"/>
      <c r="C326" s="331"/>
      <c r="D326" s="44">
        <v>508</v>
      </c>
      <c r="E326" s="210">
        <v>113.03</v>
      </c>
      <c r="F326" s="38">
        <f t="shared" si="46"/>
        <v>0</v>
      </c>
      <c r="G326" s="166">
        <f t="shared" si="43"/>
        <v>113.03</v>
      </c>
      <c r="H326" s="44">
        <v>1726</v>
      </c>
      <c r="I326" s="102">
        <f t="shared" si="51"/>
        <v>549</v>
      </c>
      <c r="J326" s="99">
        <f t="shared" si="45"/>
        <v>549</v>
      </c>
      <c r="K326" s="166">
        <f t="shared" si="44"/>
        <v>0</v>
      </c>
    </row>
    <row r="327" spans="2:11" ht="14.1" customHeight="1" x14ac:dyDescent="0.2">
      <c r="B327" s="8"/>
      <c r="C327" s="331">
        <v>610</v>
      </c>
      <c r="D327" s="44">
        <v>102</v>
      </c>
      <c r="E327" s="210">
        <v>36.6</v>
      </c>
      <c r="F327" s="38">
        <f t="shared" si="46"/>
        <v>0</v>
      </c>
      <c r="G327" s="166">
        <f t="shared" si="43"/>
        <v>36.6</v>
      </c>
      <c r="H327" s="44">
        <v>393</v>
      </c>
      <c r="I327" s="102">
        <f t="shared" ref="I327:I336" si="52">$C$327+41</f>
        <v>651</v>
      </c>
      <c r="J327" s="99">
        <f t="shared" si="45"/>
        <v>143</v>
      </c>
      <c r="K327" s="166">
        <f t="shared" si="44"/>
        <v>0</v>
      </c>
    </row>
    <row r="328" spans="2:11" ht="14.1" customHeight="1" x14ac:dyDescent="0.2">
      <c r="B328" s="8"/>
      <c r="C328" s="331"/>
      <c r="D328" s="44">
        <v>152</v>
      </c>
      <c r="E328" s="210">
        <v>41.85</v>
      </c>
      <c r="F328" s="38">
        <f t="shared" si="46"/>
        <v>0</v>
      </c>
      <c r="G328" s="166">
        <f t="shared" si="43"/>
        <v>41.85</v>
      </c>
      <c r="H328" s="44">
        <v>608</v>
      </c>
      <c r="I328" s="102">
        <f t="shared" si="52"/>
        <v>651</v>
      </c>
      <c r="J328" s="99">
        <f t="shared" si="45"/>
        <v>193</v>
      </c>
      <c r="K328" s="166">
        <f t="shared" si="44"/>
        <v>0</v>
      </c>
    </row>
    <row r="329" spans="2:11" ht="14.1" customHeight="1" x14ac:dyDescent="0.2">
      <c r="B329" s="8"/>
      <c r="C329" s="331"/>
      <c r="D329" s="44">
        <v>203</v>
      </c>
      <c r="E329" s="210">
        <v>52.19</v>
      </c>
      <c r="F329" s="38">
        <f t="shared" si="46"/>
        <v>0</v>
      </c>
      <c r="G329" s="166">
        <f t="shared" si="43"/>
        <v>52.19</v>
      </c>
      <c r="H329" s="44">
        <v>823</v>
      </c>
      <c r="I329" s="102">
        <f t="shared" si="52"/>
        <v>651</v>
      </c>
      <c r="J329" s="99">
        <f t="shared" si="45"/>
        <v>244</v>
      </c>
      <c r="K329" s="166">
        <f t="shared" si="44"/>
        <v>0</v>
      </c>
    </row>
    <row r="330" spans="2:11" ht="14.1" customHeight="1" x14ac:dyDescent="0.2">
      <c r="B330" s="8"/>
      <c r="C330" s="331"/>
      <c r="D330" s="44">
        <v>254</v>
      </c>
      <c r="E330" s="210">
        <v>62.63</v>
      </c>
      <c r="F330" s="38">
        <f t="shared" si="46"/>
        <v>0</v>
      </c>
      <c r="G330" s="166">
        <f t="shared" si="43"/>
        <v>62.63</v>
      </c>
      <c r="H330" s="44">
        <v>1037</v>
      </c>
      <c r="I330" s="102">
        <f t="shared" si="52"/>
        <v>651</v>
      </c>
      <c r="J330" s="99">
        <f t="shared" si="45"/>
        <v>295</v>
      </c>
      <c r="K330" s="166">
        <f t="shared" si="44"/>
        <v>0</v>
      </c>
    </row>
    <row r="331" spans="2:11" ht="14.1" customHeight="1" x14ac:dyDescent="0.2">
      <c r="B331" s="8"/>
      <c r="C331" s="331"/>
      <c r="D331" s="44">
        <v>305</v>
      </c>
      <c r="E331" s="210">
        <v>69.599999999999994</v>
      </c>
      <c r="F331" s="38">
        <f t="shared" si="46"/>
        <v>0</v>
      </c>
      <c r="G331" s="166">
        <f t="shared" si="43"/>
        <v>69.599999999999994</v>
      </c>
      <c r="H331" s="44">
        <v>1252</v>
      </c>
      <c r="I331" s="102">
        <f t="shared" si="52"/>
        <v>651</v>
      </c>
      <c r="J331" s="99">
        <f t="shared" si="45"/>
        <v>346</v>
      </c>
      <c r="K331" s="166">
        <f t="shared" si="44"/>
        <v>0</v>
      </c>
    </row>
    <row r="332" spans="2:11" ht="14.1" customHeight="1" x14ac:dyDescent="0.2">
      <c r="B332" s="8"/>
      <c r="C332" s="331"/>
      <c r="D332" s="44">
        <v>356</v>
      </c>
      <c r="E332" s="210">
        <v>73.13</v>
      </c>
      <c r="F332" s="38">
        <f t="shared" si="46"/>
        <v>0</v>
      </c>
      <c r="G332" s="166">
        <f t="shared" si="43"/>
        <v>73.13</v>
      </c>
      <c r="H332" s="44">
        <v>1466</v>
      </c>
      <c r="I332" s="102">
        <f t="shared" si="52"/>
        <v>651</v>
      </c>
      <c r="J332" s="99">
        <f t="shared" si="45"/>
        <v>397</v>
      </c>
      <c r="K332" s="166">
        <f t="shared" si="44"/>
        <v>0</v>
      </c>
    </row>
    <row r="333" spans="2:11" ht="14.1" customHeight="1" x14ac:dyDescent="0.2">
      <c r="B333" s="8"/>
      <c r="C333" s="331"/>
      <c r="D333" s="44">
        <v>406</v>
      </c>
      <c r="E333" s="210">
        <v>100.95</v>
      </c>
      <c r="F333" s="38">
        <f t="shared" si="46"/>
        <v>0</v>
      </c>
      <c r="G333" s="166">
        <f t="shared" si="43"/>
        <v>100.95</v>
      </c>
      <c r="H333" s="44">
        <v>1681</v>
      </c>
      <c r="I333" s="102">
        <f t="shared" si="52"/>
        <v>651</v>
      </c>
      <c r="J333" s="99">
        <f t="shared" si="45"/>
        <v>447</v>
      </c>
      <c r="K333" s="166">
        <f t="shared" si="44"/>
        <v>0</v>
      </c>
    </row>
    <row r="334" spans="2:11" ht="14.1" customHeight="1" x14ac:dyDescent="0.2">
      <c r="B334" s="8"/>
      <c r="C334" s="331"/>
      <c r="D334" s="44">
        <v>457</v>
      </c>
      <c r="E334" s="210">
        <v>111.38</v>
      </c>
      <c r="F334" s="38">
        <f t="shared" si="46"/>
        <v>0</v>
      </c>
      <c r="G334" s="166">
        <f t="shared" si="43"/>
        <v>111.38</v>
      </c>
      <c r="H334" s="44">
        <v>1895</v>
      </c>
      <c r="I334" s="102">
        <f t="shared" si="52"/>
        <v>651</v>
      </c>
      <c r="J334" s="99">
        <f t="shared" si="45"/>
        <v>498</v>
      </c>
      <c r="K334" s="166">
        <f t="shared" si="44"/>
        <v>0</v>
      </c>
    </row>
    <row r="335" spans="2:11" ht="14.1" customHeight="1" x14ac:dyDescent="0.2">
      <c r="B335" s="8"/>
      <c r="C335" s="331"/>
      <c r="D335" s="44">
        <v>508</v>
      </c>
      <c r="E335" s="210">
        <v>121.8</v>
      </c>
      <c r="F335" s="38">
        <f t="shared" si="46"/>
        <v>0</v>
      </c>
      <c r="G335" s="166">
        <f t="shared" si="43"/>
        <v>121.8</v>
      </c>
      <c r="H335" s="44">
        <v>2110</v>
      </c>
      <c r="I335" s="102">
        <f t="shared" si="52"/>
        <v>651</v>
      </c>
      <c r="J335" s="99">
        <f t="shared" si="45"/>
        <v>549</v>
      </c>
      <c r="K335" s="166">
        <f t="shared" si="44"/>
        <v>0</v>
      </c>
    </row>
    <row r="336" spans="2:11" ht="14.1" customHeight="1" x14ac:dyDescent="0.2">
      <c r="B336" s="8"/>
      <c r="C336" s="331"/>
      <c r="D336" s="44">
        <v>610</v>
      </c>
      <c r="E336" s="210">
        <v>130.5</v>
      </c>
      <c r="F336" s="38">
        <f t="shared" si="46"/>
        <v>0</v>
      </c>
      <c r="G336" s="166">
        <f t="shared" ref="G336" si="53">E336-(E336*F336)</f>
        <v>130.5</v>
      </c>
      <c r="H336" s="44">
        <v>2539</v>
      </c>
      <c r="I336" s="102">
        <f t="shared" si="52"/>
        <v>651</v>
      </c>
      <c r="J336" s="99">
        <f t="shared" si="45"/>
        <v>651</v>
      </c>
      <c r="K336" s="166">
        <f t="shared" ref="K336" si="54">(B336*G336)+(B336*J336)</f>
        <v>0</v>
      </c>
    </row>
    <row r="337" spans="2:11" ht="18" customHeight="1" x14ac:dyDescent="0.2">
      <c r="B337" s="22"/>
      <c r="C337" s="22"/>
      <c r="D337" s="22"/>
      <c r="E337" s="22"/>
      <c r="G337" s="100"/>
      <c r="H337" s="332" t="s">
        <v>85</v>
      </c>
      <c r="I337" s="332"/>
      <c r="J337" s="332"/>
      <c r="K337" s="185">
        <f>SUM(K282:K336)</f>
        <v>0</v>
      </c>
    </row>
    <row r="338" spans="2:11" ht="18" customHeight="1" x14ac:dyDescent="0.2">
      <c r="B338" s="22"/>
      <c r="C338" s="22"/>
      <c r="D338" s="22"/>
      <c r="E338" s="22"/>
      <c r="G338" s="100"/>
      <c r="H338" s="230" t="s">
        <v>264</v>
      </c>
      <c r="I338" s="230"/>
      <c r="J338" s="230"/>
      <c r="K338" s="145">
        <f>SUM(B280:B336)</f>
        <v>0</v>
      </c>
    </row>
    <row r="339" spans="2:11" ht="14.1" customHeight="1" x14ac:dyDescent="0.2">
      <c r="B339" s="22"/>
      <c r="C339" s="22"/>
      <c r="D339" s="22"/>
      <c r="E339" s="22"/>
      <c r="F339" s="22"/>
      <c r="G339" s="22"/>
      <c r="H339" s="22"/>
      <c r="I339" s="22"/>
      <c r="J339" s="22"/>
      <c r="K339" s="22"/>
    </row>
    <row r="340" spans="2:11" ht="14.1" customHeight="1" x14ac:dyDescent="0.2">
      <c r="B340" s="22"/>
      <c r="C340" s="22"/>
      <c r="D340" s="22"/>
      <c r="E340" s="22"/>
      <c r="F340" s="22"/>
      <c r="G340" s="22"/>
      <c r="H340" s="22"/>
      <c r="I340" s="22"/>
      <c r="J340" s="22"/>
      <c r="K340" s="22"/>
    </row>
    <row r="341" spans="2:11" ht="14.1" customHeight="1" x14ac:dyDescent="0.2">
      <c r="B341" s="22"/>
      <c r="C341" s="22"/>
      <c r="D341" s="22"/>
      <c r="E341" s="22"/>
      <c r="F341" s="22"/>
      <c r="G341" s="22"/>
      <c r="H341" s="22"/>
      <c r="I341" s="22"/>
      <c r="J341" s="22"/>
      <c r="K341" s="22"/>
    </row>
    <row r="342" spans="2:11" ht="14.1" customHeight="1" x14ac:dyDescent="0.2">
      <c r="B342" s="22"/>
      <c r="C342" s="22"/>
      <c r="D342" s="22"/>
      <c r="E342" s="22"/>
      <c r="F342" s="22"/>
      <c r="G342" s="22"/>
      <c r="H342" s="22"/>
      <c r="I342" s="22"/>
      <c r="J342" s="22"/>
      <c r="K342" s="22"/>
    </row>
    <row r="343" spans="2:11" ht="14.1" customHeight="1" x14ac:dyDescent="0.2">
      <c r="B343" s="22"/>
      <c r="C343" s="22"/>
      <c r="D343" s="22"/>
      <c r="E343" s="22"/>
      <c r="F343" s="22"/>
      <c r="G343" s="22"/>
      <c r="H343" s="22"/>
      <c r="I343" s="22"/>
      <c r="J343" s="22"/>
      <c r="K343" s="22"/>
    </row>
  </sheetData>
  <sheetProtection algorithmName="SHA-512" hashValue="E44Z+Caa2uj9d/r+Ke9MQAV6HnM/lRQJT3+Vk7CPbTvXNKhNPIu1iJDlPXS22LtJmxOCdh8uXT8gCDJ2a5EeOA==" saltValue="QJlEl9GxD9VabWvjSXS3Cg==" spinCount="100000" sheet="1" objects="1" scenarios="1"/>
  <dataConsolidate/>
  <mergeCells count="144">
    <mergeCell ref="C259:D259"/>
    <mergeCell ref="C260:D260"/>
    <mergeCell ref="A240:N240"/>
    <mergeCell ref="B244:B245"/>
    <mergeCell ref="E244:E245"/>
    <mergeCell ref="F244:F245"/>
    <mergeCell ref="G244:G245"/>
    <mergeCell ref="A276:N276"/>
    <mergeCell ref="C261:D261"/>
    <mergeCell ref="C262:D262"/>
    <mergeCell ref="C263:D263"/>
    <mergeCell ref="C264:D264"/>
    <mergeCell ref="H270:J270"/>
    <mergeCell ref="H271:J271"/>
    <mergeCell ref="C267:D267"/>
    <mergeCell ref="C268:D268"/>
    <mergeCell ref="C269:D269"/>
    <mergeCell ref="H272:J272"/>
    <mergeCell ref="C265:D265"/>
    <mergeCell ref="C266:D266"/>
    <mergeCell ref="K244:K245"/>
    <mergeCell ref="H234:J234"/>
    <mergeCell ref="H235:J235"/>
    <mergeCell ref="B243:K243"/>
    <mergeCell ref="B246:K246"/>
    <mergeCell ref="B258:K258"/>
    <mergeCell ref="H244:J244"/>
    <mergeCell ref="C244:D245"/>
    <mergeCell ref="C247:D247"/>
    <mergeCell ref="C251:D251"/>
    <mergeCell ref="C252:D252"/>
    <mergeCell ref="C253:D253"/>
    <mergeCell ref="C248:D248"/>
    <mergeCell ref="C249:D249"/>
    <mergeCell ref="C250:D250"/>
    <mergeCell ref="C257:D257"/>
    <mergeCell ref="H236:J236"/>
    <mergeCell ref="C254:D254"/>
    <mergeCell ref="C255:D255"/>
    <mergeCell ref="C256:D256"/>
    <mergeCell ref="B25:E25"/>
    <mergeCell ref="A27:N27"/>
    <mergeCell ref="C92:C102"/>
    <mergeCell ref="K35:K36"/>
    <mergeCell ref="C47:C51"/>
    <mergeCell ref="C43:C46"/>
    <mergeCell ref="C40:C42"/>
    <mergeCell ref="C38:C39"/>
    <mergeCell ref="B35:B36"/>
    <mergeCell ref="C35:D35"/>
    <mergeCell ref="E35:E36"/>
    <mergeCell ref="F35:F36"/>
    <mergeCell ref="I29:L29"/>
    <mergeCell ref="B34:J34"/>
    <mergeCell ref="H35:J35"/>
    <mergeCell ref="G35:G36"/>
    <mergeCell ref="C52:C57"/>
    <mergeCell ref="C58:C64"/>
    <mergeCell ref="C65:C72"/>
    <mergeCell ref="C73:C81"/>
    <mergeCell ref="C82:C91"/>
    <mergeCell ref="C103:C114"/>
    <mergeCell ref="H117:J117"/>
    <mergeCell ref="K121:K122"/>
    <mergeCell ref="C177:C183"/>
    <mergeCell ref="C184:C191"/>
    <mergeCell ref="C192:C200"/>
    <mergeCell ref="C201:C210"/>
    <mergeCell ref="C211:C221"/>
    <mergeCell ref="C222:C233"/>
    <mergeCell ref="C171:C176"/>
    <mergeCell ref="H148:J148"/>
    <mergeCell ref="H149:J149"/>
    <mergeCell ref="C157:C158"/>
    <mergeCell ref="C159:C161"/>
    <mergeCell ref="C162:C165"/>
    <mergeCell ref="H154:J154"/>
    <mergeCell ref="B153:J153"/>
    <mergeCell ref="H150:J150"/>
    <mergeCell ref="C166:C170"/>
    <mergeCell ref="C154:D154"/>
    <mergeCell ref="E154:E155"/>
    <mergeCell ref="F154:F155"/>
    <mergeCell ref="G154:G155"/>
    <mergeCell ref="C128:C132"/>
    <mergeCell ref="C133:C137"/>
    <mergeCell ref="C138:C142"/>
    <mergeCell ref="C143:C147"/>
    <mergeCell ref="K154:K155"/>
    <mergeCell ref="H121:J121"/>
    <mergeCell ref="H115:J115"/>
    <mergeCell ref="H116:J116"/>
    <mergeCell ref="B120:J120"/>
    <mergeCell ref="C123:C127"/>
    <mergeCell ref="B121:B122"/>
    <mergeCell ref="C121:D121"/>
    <mergeCell ref="E121:E122"/>
    <mergeCell ref="F121:F122"/>
    <mergeCell ref="G121:G122"/>
    <mergeCell ref="B154:B155"/>
    <mergeCell ref="B279:K279"/>
    <mergeCell ref="C327:C336"/>
    <mergeCell ref="H337:J337"/>
    <mergeCell ref="H338:J338"/>
    <mergeCell ref="I280:J280"/>
    <mergeCell ref="H280:H281"/>
    <mergeCell ref="C292:C296"/>
    <mergeCell ref="C297:C302"/>
    <mergeCell ref="C303:C309"/>
    <mergeCell ref="C310:C317"/>
    <mergeCell ref="C318:C326"/>
    <mergeCell ref="K280:K281"/>
    <mergeCell ref="C283:C284"/>
    <mergeCell ref="C285:C287"/>
    <mergeCell ref="C288:C291"/>
    <mergeCell ref="B280:B281"/>
    <mergeCell ref="C280:D280"/>
    <mergeCell ref="E280:E281"/>
    <mergeCell ref="F280:F281"/>
    <mergeCell ref="G280:G281"/>
    <mergeCell ref="L12:M12"/>
    <mergeCell ref="L13:M15"/>
    <mergeCell ref="L16:M17"/>
    <mergeCell ref="L18:M18"/>
    <mergeCell ref="L19:M19"/>
    <mergeCell ref="F24:G24"/>
    <mergeCell ref="B18:E18"/>
    <mergeCell ref="G18:J18"/>
    <mergeCell ref="L20:M20"/>
    <mergeCell ref="G17:J17"/>
    <mergeCell ref="G19:J19"/>
    <mergeCell ref="B15:E15"/>
    <mergeCell ref="B16:E16"/>
    <mergeCell ref="B20:E20"/>
    <mergeCell ref="B24:E24"/>
    <mergeCell ref="G13:J13"/>
    <mergeCell ref="G14:J14"/>
    <mergeCell ref="G15:J15"/>
    <mergeCell ref="G16:J16"/>
    <mergeCell ref="B19:E19"/>
    <mergeCell ref="B17:E17"/>
    <mergeCell ref="B12:E12"/>
    <mergeCell ref="B13:E13"/>
    <mergeCell ref="B14:E14"/>
  </mergeCells>
  <hyperlinks>
    <hyperlink ref="F24" location="SYSTEMY!A1" display="MENU GŁÓWNE" xr:uid="{00000000-0004-0000-0700-000000000000}"/>
    <hyperlink ref="B13:E13" location="'6'!A70" display="ALFA FR GRILLE EI60 - prostokątne" xr:uid="{00000000-0004-0000-0700-000001000000}"/>
    <hyperlink ref="B14:E14" location="'6'!A160" display="ALFA FR GRILLE EI120 - prostokątne" xr:uid="{00000000-0004-0000-0700-000002000000}"/>
    <hyperlink ref="B15:E15" location="'6'!A200" display="ALFA FR GRILLE EI240 - prostokątne" xr:uid="{00000000-0004-0000-0700-000003000000}"/>
    <hyperlink ref="B16:E16" location="'6'!A280" display="ALFA FR GRILLE EI60 - okrągłe" xr:uid="{00000000-0004-0000-0700-000004000000}"/>
    <hyperlink ref="B17:E17" location="'6'!A280" display="ALFA FR GRILLE EI120 - okrągłe" xr:uid="{00000000-0004-0000-0700-000005000000}"/>
    <hyperlink ref="B18:E18" location="'6'!A330" display="ALFA ATG" xr:uid="{00000000-0004-0000-0700-000006000000}"/>
  </hyperlinks>
  <printOptions horizontalCentered="1" verticalCentered="1"/>
  <pageMargins left="0.23622047244094502" right="0.23622047244094502" top="0.74803149606299202" bottom="0.74803149606299202" header="0.31496062992126" footer="0.31496062992126"/>
  <pageSetup paperSize="9" scale="59" fitToHeight="0" orientation="landscape" cellComments="atEnd" r:id="rId1"/>
  <headerFooter>
    <oddFooter>&amp;C&amp;</oddFooter>
  </headerFooter>
  <rowBreaks count="1" manualBreakCount="1">
    <brk id="26" max="1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9</vt:i4>
      </vt:variant>
    </vt:vector>
  </HeadingPairs>
  <TitlesOfParts>
    <vt:vector size="9" baseType="lpstr">
      <vt:lpstr>SYSTEMY</vt:lpstr>
      <vt:lpstr>1</vt:lpstr>
      <vt:lpstr>2A</vt:lpstr>
      <vt:lpstr>2B</vt:lpstr>
      <vt:lpstr>2C</vt:lpstr>
      <vt:lpstr>3</vt:lpstr>
      <vt:lpstr>4</vt:lpstr>
      <vt:lpstr>5</vt:lpstr>
      <vt:lpstr>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K2</dc:creator>
  <cp:lastModifiedBy>TECHNICZNY2</cp:lastModifiedBy>
  <cp:lastPrinted>2019-01-08T10:46:16Z</cp:lastPrinted>
  <dcterms:created xsi:type="dcterms:W3CDTF">2016-04-27T06:55:15Z</dcterms:created>
  <dcterms:modified xsi:type="dcterms:W3CDTF">2022-07-08T15:27:38Z</dcterms:modified>
</cp:coreProperties>
</file>